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Zahid\Desktop\"/>
    </mc:Choice>
  </mc:AlternateContent>
  <xr:revisionPtr revIDLastSave="0" documentId="8_{702EDE66-0D0B-4A2E-B24B-81436E2AEF02}" xr6:coauthVersionLast="45" xr6:coauthVersionMax="45" xr10:uidLastSave="{00000000-0000-0000-0000-000000000000}"/>
  <bookViews>
    <workbookView xWindow="-120" yWindow="-120" windowWidth="20730" windowHeight="11160" activeTab="4"/>
  </bookViews>
  <sheets>
    <sheet name="Con_BS" sheetId="3" r:id="rId1"/>
    <sheet name="Con_LR" sheetId="2" r:id="rId2"/>
    <sheet name="Con_FP" sheetId="5" r:id="rId3"/>
    <sheet name="BS_Life" sheetId="6" r:id="rId4"/>
    <sheet name="RA_Life" sheetId="7" r:id="rId5"/>
    <sheet name="Achiv_Life" sheetId="8" r:id="rId6"/>
    <sheet name="Growth_Life" sheetId="9" r:id="rId7"/>
    <sheet name="BS_Non_Life" sheetId="10" r:id="rId8"/>
    <sheet name="RA_Non_Life" sheetId="11" r:id="rId9"/>
    <sheet name="At_a_Glance" sheetId="12" r:id="rId10"/>
    <sheet name="Achiv_Non_Life" sheetId="13" r:id="rId11"/>
  </sheets>
  <calcPr calcId="181029"/>
</workbook>
</file>

<file path=xl/calcChain.xml><?xml version="1.0" encoding="utf-8"?>
<calcChain xmlns="http://schemas.openxmlformats.org/spreadsheetml/2006/main">
  <c r="F31" i="6" l="1"/>
  <c r="E20" i="6"/>
  <c r="F20" i="6"/>
  <c r="E14" i="6"/>
  <c r="F14" i="6"/>
  <c r="E15" i="6"/>
  <c r="F15" i="6"/>
  <c r="E19" i="6"/>
  <c r="F19" i="6"/>
  <c r="G24" i="9"/>
  <c r="D24" i="8"/>
  <c r="C24" i="8"/>
  <c r="B24" i="8"/>
  <c r="M24" i="7"/>
  <c r="L24" i="7"/>
  <c r="K24" i="7"/>
  <c r="E24" i="7"/>
  <c r="I24" i="7"/>
  <c r="H24" i="8" s="1"/>
  <c r="H24" i="7"/>
  <c r="G24" i="7"/>
  <c r="I24" i="8"/>
  <c r="D24" i="7"/>
  <c r="C24" i="7"/>
  <c r="B24" i="7"/>
  <c r="L24" i="6"/>
  <c r="J24" i="6"/>
  <c r="I24" i="6"/>
  <c r="F24" i="6"/>
  <c r="E24" i="6"/>
  <c r="G24" i="6"/>
  <c r="D24" i="6"/>
  <c r="C24" i="6"/>
  <c r="K24" i="8"/>
  <c r="B24" i="6"/>
  <c r="J24" i="8"/>
  <c r="G7" i="9"/>
  <c r="D7" i="8"/>
  <c r="C7" i="8"/>
  <c r="B7" i="8"/>
  <c r="H7" i="7"/>
  <c r="M7" i="7"/>
  <c r="L7" i="7"/>
  <c r="K7" i="7"/>
  <c r="N7" i="7" s="1"/>
  <c r="M7" i="8"/>
  <c r="E7" i="7"/>
  <c r="D7" i="7"/>
  <c r="C7" i="7"/>
  <c r="F7" i="7"/>
  <c r="B7" i="7"/>
  <c r="L7" i="6"/>
  <c r="J7" i="6"/>
  <c r="I7" i="6"/>
  <c r="F7" i="6"/>
  <c r="G7" i="6"/>
  <c r="D7" i="6"/>
  <c r="B7" i="6"/>
  <c r="G28" i="9"/>
  <c r="D28" i="8"/>
  <c r="C28" i="8"/>
  <c r="B28" i="8"/>
  <c r="E28" i="8"/>
  <c r="M28" i="7"/>
  <c r="L28" i="8"/>
  <c r="L28" i="7"/>
  <c r="F28" i="8"/>
  <c r="K28" i="7"/>
  <c r="H28" i="7"/>
  <c r="M28" i="8" s="1"/>
  <c r="B28" i="9" s="1"/>
  <c r="I28" i="7"/>
  <c r="H28" i="8"/>
  <c r="G28" i="7"/>
  <c r="I28" i="8"/>
  <c r="E28" i="7"/>
  <c r="D28" i="7"/>
  <c r="C28" i="7"/>
  <c r="F28" i="7"/>
  <c r="B28" i="7"/>
  <c r="L28" i="6"/>
  <c r="K28" i="6"/>
  <c r="J28" i="6"/>
  <c r="M28" i="6"/>
  <c r="I28" i="6"/>
  <c r="F28" i="6"/>
  <c r="G28" i="6"/>
  <c r="D28" i="6"/>
  <c r="C28" i="6"/>
  <c r="K28" i="8"/>
  <c r="B28" i="6"/>
  <c r="G16" i="9"/>
  <c r="C16" i="8"/>
  <c r="E16" i="8"/>
  <c r="B16" i="8"/>
  <c r="M16" i="7"/>
  <c r="L16" i="7"/>
  <c r="K16" i="7"/>
  <c r="N16" i="7" s="1"/>
  <c r="H16" i="7"/>
  <c r="M16" i="8" s="1"/>
  <c r="B16" i="9"/>
  <c r="E16" i="7"/>
  <c r="D16" i="7"/>
  <c r="C16" i="7"/>
  <c r="B16" i="7"/>
  <c r="G16" i="8" s="1"/>
  <c r="L16" i="6"/>
  <c r="J16" i="6"/>
  <c r="M16" i="6"/>
  <c r="I16" i="6"/>
  <c r="G16" i="6"/>
  <c r="F16" i="6"/>
  <c r="D16" i="6"/>
  <c r="C16" i="6"/>
  <c r="B16" i="6"/>
  <c r="G12" i="9"/>
  <c r="D12" i="8"/>
  <c r="C12" i="8"/>
  <c r="B12" i="8"/>
  <c r="M12" i="7"/>
  <c r="L12" i="8"/>
  <c r="L12" i="7"/>
  <c r="F12" i="8"/>
  <c r="K12" i="7"/>
  <c r="I12" i="7"/>
  <c r="H12" i="8" s="1"/>
  <c r="H12" i="7"/>
  <c r="M12" i="8" s="1"/>
  <c r="B12" i="9" s="1"/>
  <c r="G12" i="7"/>
  <c r="I12" i="8" s="1"/>
  <c r="E12" i="7"/>
  <c r="C12" i="7"/>
  <c r="D12" i="7"/>
  <c r="F12" i="7" s="1"/>
  <c r="B12" i="7"/>
  <c r="L12" i="6"/>
  <c r="J12" i="6"/>
  <c r="I12" i="6"/>
  <c r="G12" i="6"/>
  <c r="F12" i="6"/>
  <c r="E12" i="6"/>
  <c r="D12" i="6"/>
  <c r="C12" i="6"/>
  <c r="K12" i="8"/>
  <c r="B12" i="6"/>
  <c r="H12" i="6"/>
  <c r="N12" i="8" s="1"/>
  <c r="G37" i="9"/>
  <c r="D37" i="8"/>
  <c r="M31" i="12"/>
  <c r="N31" i="12" s="1"/>
  <c r="C37" i="8"/>
  <c r="M30" i="12" s="1"/>
  <c r="N30" i="12" s="1"/>
  <c r="B37" i="8"/>
  <c r="M29" i="12"/>
  <c r="M37" i="7"/>
  <c r="L37" i="8"/>
  <c r="L37" i="7"/>
  <c r="K37" i="7"/>
  <c r="N37" i="7" s="1"/>
  <c r="H37" i="7"/>
  <c r="M37" i="8" s="1"/>
  <c r="E37" i="7"/>
  <c r="I37" i="7"/>
  <c r="H37" i="8"/>
  <c r="D37" i="7"/>
  <c r="C37" i="7"/>
  <c r="F37" i="7" s="1"/>
  <c r="J37" i="7"/>
  <c r="B37" i="7"/>
  <c r="G37" i="8"/>
  <c r="L37" i="6"/>
  <c r="J37" i="6"/>
  <c r="I37" i="6"/>
  <c r="F37" i="6"/>
  <c r="G37" i="6"/>
  <c r="B37" i="6"/>
  <c r="E37" i="6"/>
  <c r="D37" i="6"/>
  <c r="C37" i="6"/>
  <c r="E27" i="6"/>
  <c r="F27" i="6"/>
  <c r="E18" i="6"/>
  <c r="F18" i="6"/>
  <c r="AD51" i="13"/>
  <c r="E10" i="6"/>
  <c r="F10" i="6"/>
  <c r="AI51" i="13"/>
  <c r="AF51" i="13"/>
  <c r="AB51" i="13"/>
  <c r="AA51" i="13"/>
  <c r="Y51" i="13"/>
  <c r="X51" i="13"/>
  <c r="W51" i="13"/>
  <c r="V51" i="13"/>
  <c r="T51" i="13"/>
  <c r="S51" i="13"/>
  <c r="R51" i="13"/>
  <c r="Q51" i="13"/>
  <c r="O51" i="13"/>
  <c r="N51" i="13"/>
  <c r="M51" i="13"/>
  <c r="L51" i="13"/>
  <c r="J51" i="13"/>
  <c r="I51" i="13"/>
  <c r="H51" i="13"/>
  <c r="G51" i="13"/>
  <c r="E51" i="13"/>
  <c r="D51" i="13"/>
  <c r="C51" i="13"/>
  <c r="B51" i="13"/>
  <c r="J51" i="11"/>
  <c r="I51" i="11"/>
  <c r="H51" i="11"/>
  <c r="F51" i="11"/>
  <c r="E51" i="11"/>
  <c r="D51" i="11"/>
  <c r="C51" i="11"/>
  <c r="B51" i="11"/>
  <c r="K51" i="10"/>
  <c r="M51" i="10"/>
  <c r="L51" i="10"/>
  <c r="I51" i="10"/>
  <c r="F51" i="10"/>
  <c r="E51" i="10"/>
  <c r="G51" i="10"/>
  <c r="D51" i="10"/>
  <c r="C51" i="10"/>
  <c r="AH51" i="13"/>
  <c r="B51" i="10"/>
  <c r="L23" i="8"/>
  <c r="F23" i="8"/>
  <c r="C23" i="9"/>
  <c r="H23" i="8"/>
  <c r="L30" i="6"/>
  <c r="J30" i="6"/>
  <c r="I30" i="6"/>
  <c r="E32" i="7"/>
  <c r="D32" i="7"/>
  <c r="C32" i="7"/>
  <c r="G35" i="9"/>
  <c r="D35" i="8"/>
  <c r="C35" i="8"/>
  <c r="B35" i="8"/>
  <c r="F35" i="9"/>
  <c r="H35" i="9" s="1"/>
  <c r="M35" i="7"/>
  <c r="L35" i="8" s="1"/>
  <c r="L35" i="7"/>
  <c r="K35" i="7"/>
  <c r="C35" i="9"/>
  <c r="H35" i="7"/>
  <c r="E35" i="7"/>
  <c r="D35" i="7"/>
  <c r="C35" i="7"/>
  <c r="F35" i="7" s="1"/>
  <c r="B35" i="7"/>
  <c r="L35" i="6"/>
  <c r="K35" i="6"/>
  <c r="J35" i="6"/>
  <c r="I35" i="6"/>
  <c r="F35" i="6"/>
  <c r="G35" i="6"/>
  <c r="D35" i="6"/>
  <c r="C35" i="6"/>
  <c r="K35" i="8"/>
  <c r="B35" i="6"/>
  <c r="H35" i="6" s="1"/>
  <c r="N35" i="8" s="1"/>
  <c r="G6" i="9"/>
  <c r="D6" i="8"/>
  <c r="C6" i="8"/>
  <c r="B6" i="8"/>
  <c r="F6" i="9"/>
  <c r="M6" i="7"/>
  <c r="L6" i="8"/>
  <c r="L6" i="7"/>
  <c r="N6" i="7"/>
  <c r="K6" i="7"/>
  <c r="H6" i="7"/>
  <c r="E6" i="7"/>
  <c r="C6" i="7"/>
  <c r="D6" i="7"/>
  <c r="B6" i="7"/>
  <c r="L6" i="6"/>
  <c r="K6" i="6"/>
  <c r="J6" i="6"/>
  <c r="I6" i="6"/>
  <c r="M6" i="6"/>
  <c r="G6" i="6"/>
  <c r="F6" i="6"/>
  <c r="D6" i="6"/>
  <c r="C6" i="6"/>
  <c r="K6" i="8" s="1"/>
  <c r="B6" i="6"/>
  <c r="G5" i="9"/>
  <c r="D5" i="8"/>
  <c r="C5" i="8"/>
  <c r="B5" i="8"/>
  <c r="M5" i="7"/>
  <c r="L5" i="8"/>
  <c r="L5" i="7"/>
  <c r="K5" i="7"/>
  <c r="E5" i="7"/>
  <c r="H5" i="7"/>
  <c r="M5" i="8" s="1"/>
  <c r="B5" i="9" s="1"/>
  <c r="I5" i="7"/>
  <c r="H5" i="8"/>
  <c r="D5" i="7"/>
  <c r="C5" i="7"/>
  <c r="F5" i="7" s="1"/>
  <c r="B5" i="7"/>
  <c r="G5" i="8"/>
  <c r="L5" i="6"/>
  <c r="K5" i="6"/>
  <c r="J5" i="6"/>
  <c r="F5" i="6"/>
  <c r="G5" i="6"/>
  <c r="D5" i="6"/>
  <c r="B5" i="6"/>
  <c r="C5" i="6"/>
  <c r="G21" i="9"/>
  <c r="D21" i="8"/>
  <c r="C21" i="8"/>
  <c r="B21" i="8"/>
  <c r="M21" i="7"/>
  <c r="L21" i="7"/>
  <c r="F21" i="8" s="1"/>
  <c r="K21" i="7"/>
  <c r="C21" i="9" s="1"/>
  <c r="E21" i="7"/>
  <c r="H21" i="7"/>
  <c r="M21" i="8"/>
  <c r="B21" i="9" s="1"/>
  <c r="D21" i="9"/>
  <c r="D21" i="7"/>
  <c r="F21" i="7"/>
  <c r="C21" i="7"/>
  <c r="B21" i="7"/>
  <c r="J21" i="7" s="1"/>
  <c r="K21" i="6"/>
  <c r="L21" i="6"/>
  <c r="J21" i="6"/>
  <c r="I21" i="6"/>
  <c r="G21" i="6"/>
  <c r="F21" i="6"/>
  <c r="D21" i="6"/>
  <c r="C21" i="6"/>
  <c r="B21" i="6"/>
  <c r="H21" i="6" s="1"/>
  <c r="N21" i="8" s="1"/>
  <c r="G33" i="9"/>
  <c r="D33" i="8"/>
  <c r="C33" i="8"/>
  <c r="B33" i="8"/>
  <c r="M32" i="7"/>
  <c r="N32" i="7"/>
  <c r="M33" i="7"/>
  <c r="L33" i="8"/>
  <c r="L33" i="7"/>
  <c r="K33" i="7"/>
  <c r="N33" i="7" s="1"/>
  <c r="I33" i="7"/>
  <c r="H33" i="8" s="1"/>
  <c r="E33" i="7"/>
  <c r="H33" i="7"/>
  <c r="M33" i="8"/>
  <c r="B33" i="9" s="1"/>
  <c r="D33" i="7"/>
  <c r="C33" i="7"/>
  <c r="B33" i="7"/>
  <c r="L33" i="6"/>
  <c r="J33" i="6"/>
  <c r="I33" i="6"/>
  <c r="G33" i="6"/>
  <c r="F33" i="6"/>
  <c r="D33" i="6"/>
  <c r="C33" i="6"/>
  <c r="K33" i="8"/>
  <c r="B33" i="6"/>
  <c r="H33" i="6" s="1"/>
  <c r="N33" i="8" s="1"/>
  <c r="J33" i="8"/>
  <c r="G26" i="9"/>
  <c r="D26" i="8"/>
  <c r="C26" i="8"/>
  <c r="B26" i="8"/>
  <c r="M26" i="7"/>
  <c r="L26" i="8" s="1"/>
  <c r="L26" i="7"/>
  <c r="K26" i="7"/>
  <c r="N26" i="7"/>
  <c r="H26" i="7"/>
  <c r="M26" i="8"/>
  <c r="B26" i="9" s="1"/>
  <c r="G26" i="7"/>
  <c r="I26" i="8" s="1"/>
  <c r="E26" i="7"/>
  <c r="D26" i="7"/>
  <c r="C26" i="7"/>
  <c r="F26" i="7" s="1"/>
  <c r="J26" i="7" s="1"/>
  <c r="B26" i="7"/>
  <c r="L26" i="6"/>
  <c r="K26" i="6"/>
  <c r="J26" i="6"/>
  <c r="I26" i="6"/>
  <c r="F26" i="6"/>
  <c r="G26" i="6"/>
  <c r="D26" i="6"/>
  <c r="C26" i="6"/>
  <c r="B26" i="6"/>
  <c r="H26" i="6" s="1"/>
  <c r="N26" i="8"/>
  <c r="G32" i="9"/>
  <c r="D32" i="8"/>
  <c r="C32" i="8"/>
  <c r="B32" i="8"/>
  <c r="E32" i="8" s="1"/>
  <c r="L32" i="7"/>
  <c r="K32" i="7"/>
  <c r="C32" i="9"/>
  <c r="H32" i="7"/>
  <c r="M32" i="8"/>
  <c r="B32" i="9" s="1"/>
  <c r="E32" i="9"/>
  <c r="B32" i="7"/>
  <c r="L32" i="6"/>
  <c r="J32" i="6"/>
  <c r="I32" i="6"/>
  <c r="G32" i="6"/>
  <c r="F32" i="6"/>
  <c r="E32" i="6"/>
  <c r="D32" i="6"/>
  <c r="C32" i="6"/>
  <c r="K32" i="8"/>
  <c r="B32" i="6"/>
  <c r="G30" i="9"/>
  <c r="D30" i="8"/>
  <c r="C30" i="8"/>
  <c r="B30" i="8"/>
  <c r="M30" i="7"/>
  <c r="L30" i="8" s="1"/>
  <c r="L30" i="7"/>
  <c r="F30" i="8" s="1"/>
  <c r="K30" i="7"/>
  <c r="C30" i="9" s="1"/>
  <c r="H30" i="7"/>
  <c r="M30" i="8"/>
  <c r="B30" i="9" s="1"/>
  <c r="G30" i="7"/>
  <c r="I30" i="8" s="1"/>
  <c r="E30" i="7"/>
  <c r="D30" i="7"/>
  <c r="C30" i="7"/>
  <c r="B30" i="7"/>
  <c r="G30" i="8"/>
  <c r="G30" i="6"/>
  <c r="F30" i="6"/>
  <c r="E30" i="6"/>
  <c r="D30" i="6"/>
  <c r="C30" i="6"/>
  <c r="K30" i="8"/>
  <c r="B30" i="6"/>
  <c r="G8" i="9"/>
  <c r="D8" i="8"/>
  <c r="C8" i="8"/>
  <c r="B8" i="8"/>
  <c r="M8" i="7"/>
  <c r="L8" i="8" s="1"/>
  <c r="L8" i="7"/>
  <c r="K8" i="7"/>
  <c r="C8" i="9"/>
  <c r="E8" i="7"/>
  <c r="H8" i="7"/>
  <c r="M8" i="8" s="1"/>
  <c r="B8" i="9"/>
  <c r="D8" i="9" s="1"/>
  <c r="D8" i="7"/>
  <c r="C8" i="7"/>
  <c r="B8" i="7"/>
  <c r="L8" i="6"/>
  <c r="J8" i="6"/>
  <c r="I8" i="6"/>
  <c r="G8" i="6"/>
  <c r="F8" i="6"/>
  <c r="E8" i="6"/>
  <c r="D8" i="6"/>
  <c r="C8" i="6"/>
  <c r="K8" i="8" s="1"/>
  <c r="B8" i="6"/>
  <c r="H8" i="6" s="1"/>
  <c r="N8" i="8" s="1"/>
  <c r="F34" i="6"/>
  <c r="E34" i="6"/>
  <c r="F17" i="6"/>
  <c r="D22" i="6"/>
  <c r="F22" i="6"/>
  <c r="G9" i="9"/>
  <c r="D9" i="8"/>
  <c r="C9" i="8"/>
  <c r="B9" i="8"/>
  <c r="K9" i="7"/>
  <c r="N9" i="7" s="1"/>
  <c r="M9" i="7"/>
  <c r="L9" i="8" s="1"/>
  <c r="L9" i="7"/>
  <c r="H9" i="7"/>
  <c r="M9" i="8"/>
  <c r="B9" i="9" s="1"/>
  <c r="E9" i="7"/>
  <c r="D9" i="7"/>
  <c r="C9" i="7"/>
  <c r="F9" i="7"/>
  <c r="B9" i="7"/>
  <c r="L9" i="6"/>
  <c r="J9" i="6"/>
  <c r="M9" i="6"/>
  <c r="I9" i="6"/>
  <c r="G9" i="6"/>
  <c r="E9" i="6"/>
  <c r="F9" i="6"/>
  <c r="D9" i="6"/>
  <c r="C9" i="6"/>
  <c r="K9" i="8" s="1"/>
  <c r="B9" i="6"/>
  <c r="J9" i="8" s="1"/>
  <c r="G13" i="9"/>
  <c r="D13" i="8"/>
  <c r="C13" i="8"/>
  <c r="B13" i="8"/>
  <c r="E13" i="8"/>
  <c r="K25" i="7"/>
  <c r="M25" i="7"/>
  <c r="L25" i="8" s="1"/>
  <c r="K29" i="7"/>
  <c r="L29" i="7"/>
  <c r="F29" i="8" s="1"/>
  <c r="M29" i="7"/>
  <c r="K13" i="7"/>
  <c r="M13" i="7"/>
  <c r="L13" i="8" s="1"/>
  <c r="L13" i="7"/>
  <c r="F13" i="8"/>
  <c r="H13" i="7"/>
  <c r="M13" i="8"/>
  <c r="B13" i="9" s="1"/>
  <c r="E13" i="7"/>
  <c r="D13" i="7"/>
  <c r="C13" i="7"/>
  <c r="F13" i="7" s="1"/>
  <c r="B13" i="7"/>
  <c r="L13" i="6"/>
  <c r="J13" i="6"/>
  <c r="I13" i="6"/>
  <c r="G13" i="6"/>
  <c r="F13" i="6"/>
  <c r="E13" i="6"/>
  <c r="D13" i="6"/>
  <c r="C13" i="6"/>
  <c r="B13" i="6"/>
  <c r="J13" i="8" s="1"/>
  <c r="G11" i="9"/>
  <c r="D11" i="8"/>
  <c r="B11" i="8"/>
  <c r="C11" i="8"/>
  <c r="E11" i="8" s="1"/>
  <c r="M11" i="7"/>
  <c r="L11" i="8"/>
  <c r="L11" i="7"/>
  <c r="K11" i="7"/>
  <c r="N11" i="7" s="1"/>
  <c r="H11" i="7"/>
  <c r="M11" i="8" s="1"/>
  <c r="B11" i="9" s="1"/>
  <c r="E11" i="7"/>
  <c r="D11" i="7"/>
  <c r="C11" i="7"/>
  <c r="B11" i="7"/>
  <c r="G11" i="8"/>
  <c r="L11" i="6"/>
  <c r="K11" i="6"/>
  <c r="J11" i="6"/>
  <c r="I11" i="6"/>
  <c r="M11" i="6" s="1"/>
  <c r="G11" i="6"/>
  <c r="F11" i="6"/>
  <c r="E11" i="6"/>
  <c r="D11" i="6"/>
  <c r="C11" i="6"/>
  <c r="B11" i="6"/>
  <c r="J11" i="8"/>
  <c r="G29" i="9"/>
  <c r="D29" i="8"/>
  <c r="C29" i="8"/>
  <c r="B29" i="8"/>
  <c r="G29" i="7"/>
  <c r="E29" i="7"/>
  <c r="I29" i="7"/>
  <c r="H29" i="7"/>
  <c r="M29" i="8" s="1"/>
  <c r="B29" i="9"/>
  <c r="D29" i="7"/>
  <c r="C29" i="7"/>
  <c r="F29" i="7" s="1"/>
  <c r="J29" i="7" s="1"/>
  <c r="B29" i="7"/>
  <c r="G29" i="8"/>
  <c r="L29" i="6"/>
  <c r="K29" i="6"/>
  <c r="J29" i="6"/>
  <c r="I29" i="6"/>
  <c r="F29" i="6"/>
  <c r="G29" i="6"/>
  <c r="E29" i="6"/>
  <c r="D29" i="6"/>
  <c r="C29" i="6"/>
  <c r="K29" i="8"/>
  <c r="B29" i="6"/>
  <c r="H29" i="6"/>
  <c r="N29" i="8" s="1"/>
  <c r="G25" i="9"/>
  <c r="D25" i="8"/>
  <c r="C25" i="8"/>
  <c r="B25" i="8"/>
  <c r="F25" i="9"/>
  <c r="L25" i="7"/>
  <c r="F25" i="8" s="1"/>
  <c r="C25" i="9"/>
  <c r="E25" i="7"/>
  <c r="F25" i="7"/>
  <c r="I25" i="7"/>
  <c r="H25" i="7"/>
  <c r="M25" i="8" s="1"/>
  <c r="B25" i="9" s="1"/>
  <c r="G25" i="7"/>
  <c r="D25" i="7"/>
  <c r="C25" i="7"/>
  <c r="B25" i="7"/>
  <c r="G25" i="8" s="1"/>
  <c r="L25" i="6"/>
  <c r="K25" i="6"/>
  <c r="J25" i="6"/>
  <c r="I25" i="6"/>
  <c r="F25" i="6"/>
  <c r="G25" i="6"/>
  <c r="E25" i="6"/>
  <c r="D25" i="6"/>
  <c r="C25" i="6"/>
  <c r="K25" i="8"/>
  <c r="B25" i="6"/>
  <c r="J25" i="8"/>
  <c r="F23" i="7"/>
  <c r="I5" i="11"/>
  <c r="F28" i="11"/>
  <c r="B28" i="11"/>
  <c r="E28" i="11"/>
  <c r="F34" i="10"/>
  <c r="H34" i="10" s="1"/>
  <c r="AJ34" i="13" s="1"/>
  <c r="F16" i="10"/>
  <c r="E16" i="10"/>
  <c r="F15" i="10"/>
  <c r="E15" i="10"/>
  <c r="F7" i="10"/>
  <c r="H7" i="10"/>
  <c r="AJ7" i="13" s="1"/>
  <c r="F29" i="10"/>
  <c r="E29" i="10"/>
  <c r="H29" i="10" s="1"/>
  <c r="AJ29" i="13" s="1"/>
  <c r="F36" i="10"/>
  <c r="E36" i="10"/>
  <c r="H36" i="10" s="1"/>
  <c r="AJ36" i="13" s="1"/>
  <c r="F20" i="10"/>
  <c r="E20" i="10"/>
  <c r="H20" i="10" s="1"/>
  <c r="AJ20" i="13" s="1"/>
  <c r="F21" i="10"/>
  <c r="E21" i="10"/>
  <c r="H21" i="10" s="1"/>
  <c r="AJ21" i="13" s="1"/>
  <c r="F27" i="10"/>
  <c r="H27" i="10"/>
  <c r="AJ27" i="13" s="1"/>
  <c r="E27" i="10"/>
  <c r="F22" i="10"/>
  <c r="E22" i="10"/>
  <c r="F45" i="10"/>
  <c r="E45" i="10"/>
  <c r="F40" i="10"/>
  <c r="H40" i="10" s="1"/>
  <c r="AJ40" i="13" s="1"/>
  <c r="E40" i="10"/>
  <c r="F28" i="10"/>
  <c r="E28" i="10"/>
  <c r="F44" i="10"/>
  <c r="E44" i="10"/>
  <c r="F38" i="10"/>
  <c r="E38" i="10"/>
  <c r="F12" i="10"/>
  <c r="E12" i="10"/>
  <c r="F43" i="10"/>
  <c r="E43" i="10"/>
  <c r="AI39" i="13"/>
  <c r="AF39" i="13"/>
  <c r="AE39" i="13"/>
  <c r="AD39" i="13"/>
  <c r="AC39" i="13"/>
  <c r="AA39" i="13"/>
  <c r="Y39" i="13"/>
  <c r="X39" i="13"/>
  <c r="W39" i="13"/>
  <c r="V39" i="13"/>
  <c r="T39" i="13"/>
  <c r="S39" i="13"/>
  <c r="R39" i="13"/>
  <c r="Q39" i="13"/>
  <c r="O39" i="13"/>
  <c r="N39" i="13"/>
  <c r="M39" i="13"/>
  <c r="L39" i="13"/>
  <c r="J39" i="13"/>
  <c r="I39" i="13"/>
  <c r="H39" i="13"/>
  <c r="G39" i="13"/>
  <c r="E39" i="13"/>
  <c r="D39" i="13"/>
  <c r="C39" i="13"/>
  <c r="B39" i="13"/>
  <c r="J39" i="11"/>
  <c r="I39" i="11"/>
  <c r="H39" i="11"/>
  <c r="F39" i="11"/>
  <c r="E39" i="11"/>
  <c r="D39" i="11"/>
  <c r="C39" i="11"/>
  <c r="B39" i="11"/>
  <c r="M39" i="10"/>
  <c r="L39" i="10"/>
  <c r="K39" i="10"/>
  <c r="I39" i="10"/>
  <c r="G39" i="10"/>
  <c r="F39" i="10"/>
  <c r="E39" i="10"/>
  <c r="D39" i="10"/>
  <c r="C39" i="10"/>
  <c r="AH39" i="13" s="1"/>
  <c r="B39" i="10"/>
  <c r="AI30" i="13"/>
  <c r="AF30" i="13"/>
  <c r="AE30" i="13"/>
  <c r="AD30" i="13"/>
  <c r="AC30" i="13"/>
  <c r="AB30" i="13"/>
  <c r="AA30" i="13"/>
  <c r="Y30" i="13"/>
  <c r="X30" i="13"/>
  <c r="W30" i="13"/>
  <c r="V30" i="13"/>
  <c r="T30" i="13"/>
  <c r="S30" i="13"/>
  <c r="R30" i="13"/>
  <c r="Q30" i="13"/>
  <c r="O30" i="13"/>
  <c r="N30" i="13"/>
  <c r="M30" i="13"/>
  <c r="L30" i="13"/>
  <c r="J30" i="13"/>
  <c r="I30" i="13"/>
  <c r="H30" i="13"/>
  <c r="G30" i="13"/>
  <c r="E30" i="13"/>
  <c r="D30" i="13"/>
  <c r="C30" i="13"/>
  <c r="B30" i="13"/>
  <c r="J30" i="11"/>
  <c r="I30" i="11"/>
  <c r="H30" i="11"/>
  <c r="F30" i="11"/>
  <c r="E30" i="11"/>
  <c r="D30" i="11"/>
  <c r="C30" i="11"/>
  <c r="B30" i="11"/>
  <c r="I24" i="11"/>
  <c r="J24" i="11"/>
  <c r="H24" i="11"/>
  <c r="F24" i="11"/>
  <c r="E24" i="11"/>
  <c r="D24" i="11"/>
  <c r="C24" i="11"/>
  <c r="B24" i="11"/>
  <c r="M30" i="10"/>
  <c r="L30" i="10"/>
  <c r="K30" i="10"/>
  <c r="I30" i="10"/>
  <c r="G30" i="10"/>
  <c r="F30" i="10"/>
  <c r="E30" i="10"/>
  <c r="D30" i="10"/>
  <c r="C30" i="10"/>
  <c r="AH30" i="13" s="1"/>
  <c r="B30" i="10"/>
  <c r="AI18" i="13"/>
  <c r="AF18" i="13"/>
  <c r="AE18" i="13"/>
  <c r="AD18" i="13"/>
  <c r="AC18" i="13"/>
  <c r="AB18" i="13"/>
  <c r="AA18" i="13"/>
  <c r="Y18" i="13"/>
  <c r="X18" i="13"/>
  <c r="W18" i="13"/>
  <c r="V18" i="13"/>
  <c r="Z18" i="13"/>
  <c r="T18" i="13"/>
  <c r="S18" i="13"/>
  <c r="R18" i="13"/>
  <c r="Q18" i="13"/>
  <c r="O18" i="13"/>
  <c r="N18" i="13"/>
  <c r="M18" i="13"/>
  <c r="L18" i="13"/>
  <c r="P18" i="13" s="1"/>
  <c r="J18" i="13"/>
  <c r="I18" i="13"/>
  <c r="H18" i="13"/>
  <c r="G18" i="13"/>
  <c r="K18" i="13"/>
  <c r="E18" i="13"/>
  <c r="D18" i="13"/>
  <c r="C18" i="13"/>
  <c r="B18" i="13"/>
  <c r="F18" i="13" s="1"/>
  <c r="J18" i="11"/>
  <c r="I18" i="11"/>
  <c r="H18" i="11"/>
  <c r="F18" i="11"/>
  <c r="E18" i="11"/>
  <c r="D18" i="11"/>
  <c r="C18" i="11"/>
  <c r="B18" i="11"/>
  <c r="L18" i="10"/>
  <c r="M18" i="10"/>
  <c r="K18" i="10"/>
  <c r="I18" i="10"/>
  <c r="F18" i="10"/>
  <c r="G18" i="10"/>
  <c r="E18" i="10"/>
  <c r="D18" i="10"/>
  <c r="C18" i="10"/>
  <c r="B18" i="10"/>
  <c r="AI19" i="13"/>
  <c r="AF19" i="13"/>
  <c r="AE19" i="13"/>
  <c r="AD19" i="13"/>
  <c r="AB19" i="13"/>
  <c r="AA19" i="13"/>
  <c r="Y19" i="13"/>
  <c r="X19" i="13"/>
  <c r="W19" i="13"/>
  <c r="V19" i="13"/>
  <c r="Z19" i="13"/>
  <c r="T19" i="13"/>
  <c r="S19" i="13"/>
  <c r="R19" i="13"/>
  <c r="Q19" i="13"/>
  <c r="U19" i="13" s="1"/>
  <c r="O19" i="13"/>
  <c r="N19" i="13"/>
  <c r="M19" i="13"/>
  <c r="L19" i="13"/>
  <c r="J19" i="13"/>
  <c r="I19" i="13"/>
  <c r="H19" i="13"/>
  <c r="G19" i="13"/>
  <c r="E19" i="13"/>
  <c r="D19" i="13"/>
  <c r="C19" i="13"/>
  <c r="B19" i="13"/>
  <c r="F19" i="13" s="1"/>
  <c r="J19" i="11"/>
  <c r="I19" i="11"/>
  <c r="H19" i="11"/>
  <c r="K19" i="11" s="1"/>
  <c r="F19" i="11"/>
  <c r="E19" i="11"/>
  <c r="D19" i="11"/>
  <c r="C19" i="11"/>
  <c r="G19" i="11" s="1"/>
  <c r="B19" i="11"/>
  <c r="M19" i="10"/>
  <c r="L19" i="10"/>
  <c r="K19" i="10"/>
  <c r="I19" i="10"/>
  <c r="G19" i="10"/>
  <c r="F19" i="10"/>
  <c r="E19" i="10"/>
  <c r="D19" i="10"/>
  <c r="C19" i="10"/>
  <c r="B19" i="10"/>
  <c r="AI41" i="13"/>
  <c r="AF41" i="13"/>
  <c r="AE41" i="13"/>
  <c r="AD41" i="13"/>
  <c r="AB41" i="13"/>
  <c r="AA41" i="13"/>
  <c r="J41" i="11"/>
  <c r="I41" i="11"/>
  <c r="H41" i="11"/>
  <c r="K41" i="11" s="1"/>
  <c r="F41" i="11"/>
  <c r="E41" i="11"/>
  <c r="D41" i="11"/>
  <c r="C41" i="11"/>
  <c r="G41" i="11" s="1"/>
  <c r="B41" i="11"/>
  <c r="M41" i="10"/>
  <c r="L41" i="10"/>
  <c r="K41" i="10"/>
  <c r="I41" i="10"/>
  <c r="F41" i="10"/>
  <c r="G41" i="10"/>
  <c r="E41" i="10"/>
  <c r="D41" i="10"/>
  <c r="C41" i="10"/>
  <c r="B41" i="10"/>
  <c r="AG41" i="13" s="1"/>
  <c r="AI8" i="13"/>
  <c r="AF8" i="13"/>
  <c r="AE8" i="13"/>
  <c r="AD8" i="13"/>
  <c r="AC8" i="13"/>
  <c r="AB8" i="13"/>
  <c r="AA8" i="13"/>
  <c r="Y8" i="13"/>
  <c r="X8" i="13"/>
  <c r="W8" i="13"/>
  <c r="V8" i="13"/>
  <c r="Z8" i="13" s="1"/>
  <c r="J8" i="11"/>
  <c r="I8" i="11"/>
  <c r="H8" i="11"/>
  <c r="F8" i="11"/>
  <c r="E8" i="11"/>
  <c r="D8" i="11"/>
  <c r="C8" i="11"/>
  <c r="B8" i="11"/>
  <c r="L8" i="10"/>
  <c r="M8" i="10"/>
  <c r="K8" i="10"/>
  <c r="J8" i="10"/>
  <c r="I8" i="10"/>
  <c r="G8" i="10"/>
  <c r="F8" i="10"/>
  <c r="E8" i="10"/>
  <c r="D8" i="10"/>
  <c r="C8" i="10"/>
  <c r="AH8" i="13"/>
  <c r="B8" i="10"/>
  <c r="AG8" i="13"/>
  <c r="AI49" i="13"/>
  <c r="AF49" i="13"/>
  <c r="AE49" i="13"/>
  <c r="AB49" i="13"/>
  <c r="AA49" i="13"/>
  <c r="Y49" i="13"/>
  <c r="X49" i="13"/>
  <c r="W49" i="13"/>
  <c r="V49" i="13"/>
  <c r="Z49" i="13" s="1"/>
  <c r="T49" i="13"/>
  <c r="S49" i="13"/>
  <c r="R49" i="13"/>
  <c r="Q49" i="13"/>
  <c r="O49" i="13"/>
  <c r="N49" i="13"/>
  <c r="M49" i="13"/>
  <c r="L49" i="13"/>
  <c r="P49" i="13" s="1"/>
  <c r="J49" i="13"/>
  <c r="I49" i="13"/>
  <c r="H49" i="13"/>
  <c r="G49" i="13"/>
  <c r="K49" i="13" s="1"/>
  <c r="E49" i="13"/>
  <c r="D49" i="13"/>
  <c r="C49" i="13"/>
  <c r="F49" i="13"/>
  <c r="B49" i="13"/>
  <c r="J49" i="11"/>
  <c r="I49" i="11"/>
  <c r="H49" i="11"/>
  <c r="K49" i="11" s="1"/>
  <c r="F49" i="11"/>
  <c r="E49" i="11"/>
  <c r="D49" i="11"/>
  <c r="C49" i="11"/>
  <c r="B49" i="11"/>
  <c r="M49" i="10"/>
  <c r="L49" i="10"/>
  <c r="K49" i="10"/>
  <c r="N49" i="10" s="1"/>
  <c r="I49" i="10"/>
  <c r="G49" i="10"/>
  <c r="F49" i="10"/>
  <c r="E49" i="10"/>
  <c r="D49" i="10"/>
  <c r="C49" i="10"/>
  <c r="AH49" i="13" s="1"/>
  <c r="B49" i="10"/>
  <c r="AG49" i="13"/>
  <c r="AB5" i="13"/>
  <c r="AD5" i="13"/>
  <c r="AI5" i="13"/>
  <c r="AF5" i="13"/>
  <c r="AE5" i="13"/>
  <c r="AC5" i="13"/>
  <c r="AA5" i="13"/>
  <c r="Y5" i="13"/>
  <c r="X5" i="13"/>
  <c r="W5" i="13"/>
  <c r="V5" i="13"/>
  <c r="Z5" i="13"/>
  <c r="T5" i="13"/>
  <c r="S5" i="13"/>
  <c r="R5" i="13"/>
  <c r="Q5" i="13"/>
  <c r="O5" i="13"/>
  <c r="N5" i="13"/>
  <c r="M5" i="13"/>
  <c r="L5" i="13"/>
  <c r="P5" i="13" s="1"/>
  <c r="J5" i="13"/>
  <c r="I5" i="13"/>
  <c r="H5" i="13"/>
  <c r="G5" i="13"/>
  <c r="K5" i="13"/>
  <c r="E5" i="13"/>
  <c r="D5" i="13"/>
  <c r="C5" i="13"/>
  <c r="B5" i="13"/>
  <c r="F5" i="13" s="1"/>
  <c r="J5" i="11"/>
  <c r="H5" i="11"/>
  <c r="F5" i="11"/>
  <c r="E5" i="11"/>
  <c r="D5" i="11"/>
  <c r="C5" i="11"/>
  <c r="B5" i="11"/>
  <c r="M5" i="10"/>
  <c r="L5" i="10"/>
  <c r="K5" i="10"/>
  <c r="I5" i="10"/>
  <c r="G5" i="10"/>
  <c r="F5" i="10"/>
  <c r="E5" i="10"/>
  <c r="D5" i="10"/>
  <c r="C5" i="10"/>
  <c r="AH5" i="13"/>
  <c r="B5" i="10"/>
  <c r="AI35" i="13"/>
  <c r="AF35" i="13"/>
  <c r="AE35" i="13"/>
  <c r="AD35" i="13"/>
  <c r="AB35" i="13"/>
  <c r="AA35" i="13"/>
  <c r="Y35" i="13"/>
  <c r="X35" i="13"/>
  <c r="W35" i="13"/>
  <c r="V35" i="13"/>
  <c r="Z35" i="13"/>
  <c r="T35" i="13"/>
  <c r="S35" i="13"/>
  <c r="R35" i="13"/>
  <c r="Q35" i="13"/>
  <c r="U35" i="13" s="1"/>
  <c r="O35" i="13"/>
  <c r="N35" i="13"/>
  <c r="M35" i="13"/>
  <c r="L35" i="13"/>
  <c r="P35" i="13"/>
  <c r="J35" i="13"/>
  <c r="I35" i="13"/>
  <c r="H35" i="13"/>
  <c r="G35" i="13"/>
  <c r="E35" i="13"/>
  <c r="D35" i="13"/>
  <c r="C35" i="13"/>
  <c r="B35" i="13"/>
  <c r="F35" i="13" s="1"/>
  <c r="J35" i="11"/>
  <c r="I35" i="11"/>
  <c r="H35" i="11"/>
  <c r="F35" i="11"/>
  <c r="E35" i="11"/>
  <c r="D35" i="11"/>
  <c r="C35" i="11"/>
  <c r="B35" i="11"/>
  <c r="M35" i="10"/>
  <c r="L35" i="10"/>
  <c r="K35" i="10"/>
  <c r="I35" i="10"/>
  <c r="F35" i="10"/>
  <c r="G35" i="10"/>
  <c r="E35" i="10"/>
  <c r="D35" i="10"/>
  <c r="C35" i="10"/>
  <c r="B35" i="10"/>
  <c r="AI37" i="13"/>
  <c r="AF37" i="13"/>
  <c r="AE37" i="13"/>
  <c r="AD37" i="13"/>
  <c r="AB37" i="13"/>
  <c r="AA37" i="13"/>
  <c r="Y37" i="13"/>
  <c r="X37" i="13"/>
  <c r="W37" i="13"/>
  <c r="V37" i="13"/>
  <c r="Z37" i="13"/>
  <c r="T37" i="13"/>
  <c r="S37" i="13"/>
  <c r="R37" i="13"/>
  <c r="Q37" i="13"/>
  <c r="O37" i="13"/>
  <c r="N37" i="13"/>
  <c r="M37" i="13"/>
  <c r="L37" i="13"/>
  <c r="P37" i="13" s="1"/>
  <c r="J37" i="13"/>
  <c r="I37" i="13"/>
  <c r="H37" i="13"/>
  <c r="G37" i="13"/>
  <c r="K37" i="13"/>
  <c r="E37" i="13"/>
  <c r="D37" i="13"/>
  <c r="C37" i="13"/>
  <c r="B37" i="13"/>
  <c r="F37" i="13" s="1"/>
  <c r="J37" i="11"/>
  <c r="I37" i="11"/>
  <c r="H37" i="11"/>
  <c r="F37" i="11"/>
  <c r="E37" i="11"/>
  <c r="D37" i="11"/>
  <c r="C37" i="11"/>
  <c r="B37" i="11"/>
  <c r="M37" i="10"/>
  <c r="L37" i="10"/>
  <c r="K37" i="10"/>
  <c r="J37" i="10"/>
  <c r="I37" i="10"/>
  <c r="F37" i="10"/>
  <c r="G37" i="10"/>
  <c r="E37" i="10"/>
  <c r="D37" i="10"/>
  <c r="C37" i="10"/>
  <c r="B37" i="10"/>
  <c r="AG37" i="13" s="1"/>
  <c r="AI11" i="13"/>
  <c r="AF11" i="13"/>
  <c r="AE11" i="13"/>
  <c r="AD11" i="13"/>
  <c r="AC11" i="13"/>
  <c r="AB11" i="13"/>
  <c r="AA11" i="13"/>
  <c r="AA50" i="13" s="1"/>
  <c r="AA52" i="13" s="1"/>
  <c r="Y11" i="13"/>
  <c r="X11" i="13"/>
  <c r="W11" i="13"/>
  <c r="V11" i="13"/>
  <c r="T11" i="13"/>
  <c r="S11" i="13"/>
  <c r="R11" i="13"/>
  <c r="Q11" i="13"/>
  <c r="U11" i="13" s="1"/>
  <c r="O11" i="13"/>
  <c r="N11" i="13"/>
  <c r="M11" i="13"/>
  <c r="L11" i="13"/>
  <c r="P11" i="13"/>
  <c r="J11" i="13"/>
  <c r="I11" i="13"/>
  <c r="H11" i="13"/>
  <c r="G11" i="13"/>
  <c r="K11" i="13" s="1"/>
  <c r="E11" i="13"/>
  <c r="D11" i="13"/>
  <c r="B11" i="13"/>
  <c r="F11" i="13" s="1"/>
  <c r="C11" i="13"/>
  <c r="J11" i="11"/>
  <c r="I11" i="11"/>
  <c r="H11" i="11"/>
  <c r="F11" i="11"/>
  <c r="E11" i="11"/>
  <c r="D11" i="11"/>
  <c r="C11" i="11"/>
  <c r="G11" i="11" s="1"/>
  <c r="B11" i="11"/>
  <c r="M11" i="10"/>
  <c r="M12" i="10"/>
  <c r="L11" i="10"/>
  <c r="K11" i="10"/>
  <c r="J11" i="10"/>
  <c r="I11" i="10"/>
  <c r="G11" i="10"/>
  <c r="F11" i="10"/>
  <c r="E11" i="10"/>
  <c r="D11" i="10"/>
  <c r="H11" i="10" s="1"/>
  <c r="C11" i="10"/>
  <c r="AH11" i="13"/>
  <c r="B11" i="10"/>
  <c r="AI24" i="13"/>
  <c r="AF24" i="13"/>
  <c r="AE24" i="13"/>
  <c r="AD24" i="13"/>
  <c r="AB24" i="13"/>
  <c r="AA24" i="13"/>
  <c r="V24" i="13"/>
  <c r="Y24" i="13"/>
  <c r="X24" i="13"/>
  <c r="W24" i="13"/>
  <c r="T24" i="13"/>
  <c r="S24" i="13"/>
  <c r="R24" i="13"/>
  <c r="Q24" i="13"/>
  <c r="O24" i="13"/>
  <c r="N24" i="13"/>
  <c r="M24" i="13"/>
  <c r="L24" i="13"/>
  <c r="P24" i="13"/>
  <c r="J24" i="13"/>
  <c r="I24" i="13"/>
  <c r="H24" i="13"/>
  <c r="G24" i="13"/>
  <c r="K24" i="13" s="1"/>
  <c r="E24" i="13"/>
  <c r="D24" i="13"/>
  <c r="C24" i="13"/>
  <c r="B24" i="13"/>
  <c r="F24" i="13"/>
  <c r="M24" i="10"/>
  <c r="L24" i="10"/>
  <c r="K24" i="10"/>
  <c r="I24" i="10"/>
  <c r="G24" i="10"/>
  <c r="F24" i="10"/>
  <c r="E24" i="10"/>
  <c r="D24" i="10"/>
  <c r="C24" i="10"/>
  <c r="B24" i="10"/>
  <c r="AG24" i="13" s="1"/>
  <c r="AI42" i="13"/>
  <c r="AF42" i="13"/>
  <c r="AE42" i="13"/>
  <c r="AD42" i="13"/>
  <c r="AC42" i="13"/>
  <c r="AB42" i="13"/>
  <c r="AA42" i="13"/>
  <c r="Y42" i="13"/>
  <c r="X42" i="13"/>
  <c r="W42" i="13"/>
  <c r="V42" i="13"/>
  <c r="S42" i="13"/>
  <c r="R42" i="13"/>
  <c r="Q42" i="13"/>
  <c r="N42" i="13"/>
  <c r="M42" i="13"/>
  <c r="L42" i="13"/>
  <c r="P42" i="13"/>
  <c r="J42" i="13"/>
  <c r="I42" i="13"/>
  <c r="H42" i="13"/>
  <c r="G42" i="13"/>
  <c r="K42" i="13" s="1"/>
  <c r="E42" i="13"/>
  <c r="D42" i="13"/>
  <c r="C42" i="13"/>
  <c r="F42" i="13" s="1"/>
  <c r="B42" i="13"/>
  <c r="J42" i="11"/>
  <c r="I42" i="11"/>
  <c r="H42" i="11"/>
  <c r="F42" i="11"/>
  <c r="E42" i="11"/>
  <c r="D42" i="11"/>
  <c r="C42" i="11"/>
  <c r="G42" i="11" s="1"/>
  <c r="B42" i="11"/>
  <c r="M42" i="10"/>
  <c r="L42" i="10"/>
  <c r="K42" i="10"/>
  <c r="I42" i="10"/>
  <c r="G42" i="10"/>
  <c r="F42" i="10"/>
  <c r="D42" i="10"/>
  <c r="C42" i="10"/>
  <c r="AH42" i="13"/>
  <c r="B42" i="10"/>
  <c r="AG42" i="13"/>
  <c r="AI23" i="13"/>
  <c r="AF23" i="13"/>
  <c r="AE23" i="13"/>
  <c r="AD23" i="13"/>
  <c r="AC23" i="13"/>
  <c r="AB23" i="13"/>
  <c r="AA23" i="13"/>
  <c r="Y23" i="13"/>
  <c r="X23" i="13"/>
  <c r="W23" i="13"/>
  <c r="V23" i="13"/>
  <c r="T23" i="13"/>
  <c r="S23" i="13"/>
  <c r="R23" i="13"/>
  <c r="U23" i="13"/>
  <c r="Q23" i="13"/>
  <c r="O23" i="13"/>
  <c r="N23" i="13"/>
  <c r="M23" i="13"/>
  <c r="L23" i="13"/>
  <c r="J23" i="13"/>
  <c r="I23" i="13"/>
  <c r="H23" i="13"/>
  <c r="G23" i="13"/>
  <c r="K23" i="13" s="1"/>
  <c r="E23" i="13"/>
  <c r="D23" i="13"/>
  <c r="C23" i="13"/>
  <c r="F23" i="13"/>
  <c r="B23" i="13"/>
  <c r="J23" i="11"/>
  <c r="I23" i="11"/>
  <c r="H23" i="11"/>
  <c r="F23" i="11"/>
  <c r="E23" i="11"/>
  <c r="D23" i="11"/>
  <c r="C23" i="11"/>
  <c r="B23" i="11"/>
  <c r="M23" i="10"/>
  <c r="L23" i="10"/>
  <c r="K23" i="10"/>
  <c r="I23" i="10"/>
  <c r="F23" i="10"/>
  <c r="G23" i="10"/>
  <c r="E23" i="10"/>
  <c r="D23" i="10"/>
  <c r="C23" i="10"/>
  <c r="AH23" i="13" s="1"/>
  <c r="B23" i="10"/>
  <c r="AG23" i="13" s="1"/>
  <c r="AI6" i="13"/>
  <c r="AF6" i="13"/>
  <c r="AF50" i="13" s="1"/>
  <c r="AF52" i="13" s="1"/>
  <c r="AE6" i="13"/>
  <c r="AD6" i="13"/>
  <c r="AB6" i="13"/>
  <c r="AC6" i="13"/>
  <c r="AC50" i="13" s="1"/>
  <c r="AC52" i="13" s="1"/>
  <c r="AA6" i="13"/>
  <c r="Y6" i="13"/>
  <c r="X6" i="13"/>
  <c r="W6" i="13"/>
  <c r="V6" i="13"/>
  <c r="T6" i="13"/>
  <c r="S6" i="13"/>
  <c r="R6" i="13"/>
  <c r="R50" i="13" s="1"/>
  <c r="R52" i="13" s="1"/>
  <c r="Q6" i="13"/>
  <c r="U6" i="13"/>
  <c r="O6" i="13"/>
  <c r="N6" i="13"/>
  <c r="M6" i="13"/>
  <c r="L6" i="13"/>
  <c r="P6" i="13" s="1"/>
  <c r="J6" i="13"/>
  <c r="I6" i="13"/>
  <c r="H6" i="13"/>
  <c r="G6" i="13"/>
  <c r="K6" i="13"/>
  <c r="E6" i="13"/>
  <c r="D6" i="13"/>
  <c r="C6" i="13"/>
  <c r="B6" i="13"/>
  <c r="I6" i="10"/>
  <c r="J6" i="10"/>
  <c r="K6" i="10"/>
  <c r="N6" i="10" s="1"/>
  <c r="L6" i="10"/>
  <c r="M6" i="10"/>
  <c r="B6" i="10"/>
  <c r="AG6" i="13"/>
  <c r="C6" i="10"/>
  <c r="AH6" i="13"/>
  <c r="D6" i="10"/>
  <c r="E6" i="10"/>
  <c r="F6" i="10"/>
  <c r="G6" i="10"/>
  <c r="J6" i="11"/>
  <c r="I6" i="11"/>
  <c r="H6" i="11"/>
  <c r="F6" i="11"/>
  <c r="E6" i="11"/>
  <c r="D6" i="11"/>
  <c r="C6" i="11"/>
  <c r="B6" i="11"/>
  <c r="AI17" i="13"/>
  <c r="AF17" i="13"/>
  <c r="AD17" i="13"/>
  <c r="AE17" i="13"/>
  <c r="AB17" i="13"/>
  <c r="AA17" i="13"/>
  <c r="Y17" i="13"/>
  <c r="X17" i="13"/>
  <c r="W17" i="13"/>
  <c r="V17" i="13"/>
  <c r="Z17" i="13" s="1"/>
  <c r="S17" i="13"/>
  <c r="T17" i="13"/>
  <c r="R17" i="13"/>
  <c r="Q17" i="13"/>
  <c r="U17" i="13"/>
  <c r="O17" i="13"/>
  <c r="N17" i="13"/>
  <c r="M17" i="13"/>
  <c r="L17" i="13"/>
  <c r="P17" i="13" s="1"/>
  <c r="J17" i="13"/>
  <c r="I17" i="13"/>
  <c r="H17" i="13"/>
  <c r="G17" i="13"/>
  <c r="K17" i="13" s="1"/>
  <c r="E17" i="13"/>
  <c r="D17" i="13"/>
  <c r="C17" i="13"/>
  <c r="B17" i="13"/>
  <c r="F17" i="13"/>
  <c r="J17" i="11"/>
  <c r="I17" i="11"/>
  <c r="H17" i="11"/>
  <c r="B17" i="11"/>
  <c r="F17" i="11"/>
  <c r="E17" i="11"/>
  <c r="D17" i="11"/>
  <c r="C17" i="11"/>
  <c r="M17" i="10"/>
  <c r="K17" i="10"/>
  <c r="I17" i="10"/>
  <c r="G17" i="10"/>
  <c r="F17" i="10"/>
  <c r="E17" i="10"/>
  <c r="D17" i="10"/>
  <c r="C17" i="10"/>
  <c r="AH17" i="13" s="1"/>
  <c r="B17" i="10"/>
  <c r="L17" i="10"/>
  <c r="J17" i="10"/>
  <c r="AI10" i="13"/>
  <c r="AF10" i="13"/>
  <c r="AE10" i="13"/>
  <c r="AD10" i="13"/>
  <c r="AC10" i="13"/>
  <c r="AB10" i="13"/>
  <c r="AA10" i="13"/>
  <c r="Y10" i="13"/>
  <c r="X10" i="13"/>
  <c r="W10" i="13"/>
  <c r="V10" i="13"/>
  <c r="T10" i="13"/>
  <c r="S10" i="13"/>
  <c r="R10" i="13"/>
  <c r="Q10" i="13"/>
  <c r="O10" i="13"/>
  <c r="N10" i="13"/>
  <c r="M10" i="13"/>
  <c r="L10" i="13"/>
  <c r="P10" i="13" s="1"/>
  <c r="J10" i="13"/>
  <c r="I10" i="13"/>
  <c r="H10" i="13"/>
  <c r="G10" i="13"/>
  <c r="K10" i="13" s="1"/>
  <c r="E10" i="13"/>
  <c r="D10" i="13"/>
  <c r="C10" i="13"/>
  <c r="B10" i="13"/>
  <c r="J10" i="11"/>
  <c r="I10" i="11"/>
  <c r="H10" i="11"/>
  <c r="F10" i="11"/>
  <c r="E10" i="11"/>
  <c r="D10" i="11"/>
  <c r="C10" i="11"/>
  <c r="B10" i="11"/>
  <c r="M10" i="10"/>
  <c r="L10" i="10"/>
  <c r="K10" i="10"/>
  <c r="I10" i="10"/>
  <c r="G10" i="10"/>
  <c r="F10" i="10"/>
  <c r="E10" i="10"/>
  <c r="D10" i="10"/>
  <c r="C10" i="10"/>
  <c r="AH10" i="13" s="1"/>
  <c r="B10" i="10"/>
  <c r="AI46" i="13"/>
  <c r="AF46" i="13"/>
  <c r="AE46" i="13"/>
  <c r="AD46" i="13"/>
  <c r="AC46" i="13"/>
  <c r="AB46" i="13"/>
  <c r="AA46" i="13"/>
  <c r="Y46" i="13"/>
  <c r="X46" i="13"/>
  <c r="W46" i="13"/>
  <c r="V46" i="13"/>
  <c r="Z46" i="13" s="1"/>
  <c r="T46" i="13"/>
  <c r="S46" i="13"/>
  <c r="R46" i="13"/>
  <c r="Q46" i="13"/>
  <c r="U46" i="13"/>
  <c r="O46" i="13"/>
  <c r="N46" i="13"/>
  <c r="M46" i="13"/>
  <c r="P46" i="13"/>
  <c r="L46" i="13"/>
  <c r="J46" i="13"/>
  <c r="I46" i="13"/>
  <c r="H46" i="13"/>
  <c r="G46" i="13"/>
  <c r="E46" i="13"/>
  <c r="D46" i="13"/>
  <c r="C46" i="13"/>
  <c r="B46" i="13"/>
  <c r="F46" i="13" s="1"/>
  <c r="J46" i="11"/>
  <c r="I46" i="11"/>
  <c r="K46" i="11" s="1"/>
  <c r="H46" i="11"/>
  <c r="F46" i="11"/>
  <c r="E46" i="11"/>
  <c r="D46" i="11"/>
  <c r="C46" i="11"/>
  <c r="B46" i="11"/>
  <c r="M46" i="10"/>
  <c r="L46" i="10"/>
  <c r="K46" i="10"/>
  <c r="I46" i="10"/>
  <c r="N46" i="10" s="1"/>
  <c r="F46" i="10"/>
  <c r="G46" i="10"/>
  <c r="E46" i="10"/>
  <c r="D46" i="10"/>
  <c r="C46" i="10"/>
  <c r="AH46" i="13"/>
  <c r="B46" i="10"/>
  <c r="AI26" i="13"/>
  <c r="AF26" i="13"/>
  <c r="AE26" i="13"/>
  <c r="AD26" i="13"/>
  <c r="AC26" i="13"/>
  <c r="AB26" i="13"/>
  <c r="AA26" i="13"/>
  <c r="Y26" i="13"/>
  <c r="X26" i="13"/>
  <c r="W26" i="13"/>
  <c r="V26" i="13"/>
  <c r="Z26" i="13" s="1"/>
  <c r="T26" i="13"/>
  <c r="S26" i="13"/>
  <c r="R26" i="13"/>
  <c r="Q26" i="13"/>
  <c r="U26" i="13" s="1"/>
  <c r="O26" i="13"/>
  <c r="N26" i="13"/>
  <c r="M26" i="13"/>
  <c r="L26" i="13"/>
  <c r="P26" i="13"/>
  <c r="J26" i="13"/>
  <c r="I26" i="13"/>
  <c r="H26" i="13"/>
  <c r="G26" i="13"/>
  <c r="K26" i="13" s="1"/>
  <c r="E26" i="13"/>
  <c r="D26" i="13"/>
  <c r="C26" i="13"/>
  <c r="B26" i="13"/>
  <c r="J26" i="11"/>
  <c r="I26" i="11"/>
  <c r="H26" i="11"/>
  <c r="K26" i="11" s="1"/>
  <c r="F26" i="11"/>
  <c r="E26" i="11"/>
  <c r="D26" i="11"/>
  <c r="C26" i="11"/>
  <c r="B26" i="11"/>
  <c r="M26" i="10"/>
  <c r="L26" i="10"/>
  <c r="K26" i="10"/>
  <c r="J26" i="10"/>
  <c r="I26" i="10"/>
  <c r="F26" i="10"/>
  <c r="G26" i="10"/>
  <c r="E26" i="10"/>
  <c r="D26" i="10"/>
  <c r="C26" i="10"/>
  <c r="B26" i="10"/>
  <c r="AG26" i="13"/>
  <c r="AI33" i="13"/>
  <c r="AE33" i="13"/>
  <c r="AD33" i="13"/>
  <c r="AF33" i="13"/>
  <c r="AC33" i="13"/>
  <c r="J33" i="11"/>
  <c r="I33" i="11"/>
  <c r="H33" i="11"/>
  <c r="F33" i="11"/>
  <c r="E33" i="11"/>
  <c r="D33" i="11"/>
  <c r="C33" i="11"/>
  <c r="B33" i="11"/>
  <c r="AB33" i="13"/>
  <c r="AA33" i="13"/>
  <c r="W33" i="13"/>
  <c r="X33" i="13"/>
  <c r="Y33" i="13"/>
  <c r="V33" i="13"/>
  <c r="Z33" i="13"/>
  <c r="T33" i="13"/>
  <c r="S33" i="13"/>
  <c r="R33" i="13"/>
  <c r="U33" i="13"/>
  <c r="Q33" i="13"/>
  <c r="O33" i="13"/>
  <c r="N33" i="13"/>
  <c r="M33" i="13"/>
  <c r="L33" i="13"/>
  <c r="P33" i="13" s="1"/>
  <c r="J33" i="13"/>
  <c r="I33" i="13"/>
  <c r="H33" i="13"/>
  <c r="G33" i="13"/>
  <c r="K33" i="13" s="1"/>
  <c r="E33" i="13"/>
  <c r="D33" i="13"/>
  <c r="C33" i="13"/>
  <c r="B33" i="13"/>
  <c r="F33" i="13"/>
  <c r="M33" i="10"/>
  <c r="L33" i="10"/>
  <c r="K33" i="10"/>
  <c r="J33" i="10"/>
  <c r="I33" i="10"/>
  <c r="G33" i="10"/>
  <c r="F33" i="10"/>
  <c r="E33" i="10"/>
  <c r="D33" i="10"/>
  <c r="C33" i="10"/>
  <c r="AH33" i="13" s="1"/>
  <c r="B33" i="10"/>
  <c r="AI32" i="13"/>
  <c r="AF32" i="13"/>
  <c r="AE32" i="13"/>
  <c r="AD32" i="13"/>
  <c r="AB32" i="13"/>
  <c r="AA32" i="13"/>
  <c r="Y32" i="13"/>
  <c r="X32" i="13"/>
  <c r="W32" i="13"/>
  <c r="Z32" i="13" s="1"/>
  <c r="V32" i="13"/>
  <c r="T32" i="13"/>
  <c r="S32" i="13"/>
  <c r="R32" i="13"/>
  <c r="Q32" i="13"/>
  <c r="U32" i="13" s="1"/>
  <c r="O32" i="13"/>
  <c r="N32" i="13"/>
  <c r="M32" i="13"/>
  <c r="L32" i="13"/>
  <c r="P32" i="13" s="1"/>
  <c r="J32" i="13"/>
  <c r="I32" i="13"/>
  <c r="H32" i="13"/>
  <c r="G32" i="13"/>
  <c r="K32" i="13"/>
  <c r="E32" i="13"/>
  <c r="D32" i="13"/>
  <c r="C32" i="13"/>
  <c r="B32" i="13"/>
  <c r="J32" i="11"/>
  <c r="I32" i="11"/>
  <c r="H32" i="11"/>
  <c r="C32" i="11"/>
  <c r="D32" i="11"/>
  <c r="F32" i="11"/>
  <c r="E32" i="11"/>
  <c r="B32" i="11"/>
  <c r="M32" i="10"/>
  <c r="L32" i="10"/>
  <c r="K32" i="10"/>
  <c r="I32" i="10"/>
  <c r="B32" i="10"/>
  <c r="G32" i="10"/>
  <c r="F32" i="10"/>
  <c r="E32" i="10"/>
  <c r="D32" i="10"/>
  <c r="C32" i="10"/>
  <c r="AH32" i="13" s="1"/>
  <c r="AI13" i="13"/>
  <c r="AF13" i="13"/>
  <c r="AE13" i="13"/>
  <c r="AD13" i="13"/>
  <c r="AC13" i="13"/>
  <c r="AB13" i="13"/>
  <c r="AA13" i="13"/>
  <c r="Y13" i="13"/>
  <c r="X13" i="13"/>
  <c r="W13" i="13"/>
  <c r="Z13" i="13"/>
  <c r="V13" i="13"/>
  <c r="T13" i="13"/>
  <c r="S13" i="13"/>
  <c r="R13" i="13"/>
  <c r="Q13" i="13"/>
  <c r="O13" i="13"/>
  <c r="N13" i="13"/>
  <c r="M13" i="13"/>
  <c r="L13" i="13"/>
  <c r="J13" i="13"/>
  <c r="I13" i="13"/>
  <c r="H13" i="13"/>
  <c r="G13" i="13"/>
  <c r="E13" i="13"/>
  <c r="D13" i="13"/>
  <c r="C13" i="13"/>
  <c r="B13" i="13"/>
  <c r="J13" i="11"/>
  <c r="I13" i="11"/>
  <c r="H13" i="11"/>
  <c r="E13" i="11"/>
  <c r="F13" i="11"/>
  <c r="D13" i="11"/>
  <c r="C13" i="11"/>
  <c r="B13" i="11"/>
  <c r="M13" i="10"/>
  <c r="L13" i="10"/>
  <c r="K13" i="10"/>
  <c r="J13" i="10"/>
  <c r="I13" i="10"/>
  <c r="D13" i="10"/>
  <c r="F13" i="10"/>
  <c r="G13" i="10"/>
  <c r="E13" i="10"/>
  <c r="C13" i="10"/>
  <c r="AH13" i="13" s="1"/>
  <c r="B13" i="10"/>
  <c r="AD47" i="13"/>
  <c r="AI47" i="13"/>
  <c r="AF47" i="13"/>
  <c r="AE47" i="13"/>
  <c r="AC47" i="13"/>
  <c r="AB47" i="13"/>
  <c r="AA47" i="13"/>
  <c r="Y47" i="13"/>
  <c r="X47" i="13"/>
  <c r="W47" i="13"/>
  <c r="V47" i="13"/>
  <c r="Z47" i="13" s="1"/>
  <c r="T47" i="13"/>
  <c r="S47" i="13"/>
  <c r="S50" i="13" s="1"/>
  <c r="S52" i="13" s="1"/>
  <c r="R47" i="13"/>
  <c r="U47" i="13"/>
  <c r="Q47" i="13"/>
  <c r="J47" i="13"/>
  <c r="I47" i="13"/>
  <c r="H47" i="13"/>
  <c r="G47" i="13"/>
  <c r="E47" i="13"/>
  <c r="D47" i="13"/>
  <c r="C47" i="13"/>
  <c r="B47" i="13"/>
  <c r="J47" i="11"/>
  <c r="I47" i="11"/>
  <c r="H47" i="11"/>
  <c r="F47" i="11"/>
  <c r="E47" i="11"/>
  <c r="D47" i="11"/>
  <c r="C47" i="11"/>
  <c r="B47" i="11"/>
  <c r="M47" i="10"/>
  <c r="L47" i="10"/>
  <c r="K47" i="10"/>
  <c r="I47" i="10"/>
  <c r="F47" i="10"/>
  <c r="E47" i="10"/>
  <c r="D47" i="10"/>
  <c r="C47" i="10"/>
  <c r="AH47" i="13" s="1"/>
  <c r="G47" i="10"/>
  <c r="B47" i="10"/>
  <c r="AI12" i="13"/>
  <c r="AI50" i="13" s="1"/>
  <c r="AI52" i="13" s="1"/>
  <c r="AF12" i="13"/>
  <c r="AE12" i="13"/>
  <c r="AE50" i="13" s="1"/>
  <c r="AE52" i="13" s="1"/>
  <c r="AD12" i="13"/>
  <c r="AC12" i="13"/>
  <c r="AB12" i="13"/>
  <c r="AA12" i="13"/>
  <c r="Y12" i="13"/>
  <c r="X12" i="13"/>
  <c r="W12" i="13"/>
  <c r="V12" i="13"/>
  <c r="Z12" i="13" s="1"/>
  <c r="T12" i="13"/>
  <c r="S12" i="13"/>
  <c r="R12" i="13"/>
  <c r="Q12" i="13"/>
  <c r="U12" i="13"/>
  <c r="M12" i="13"/>
  <c r="O12" i="13"/>
  <c r="N12" i="13"/>
  <c r="L12" i="13"/>
  <c r="P12" i="13" s="1"/>
  <c r="J12" i="13"/>
  <c r="I12" i="13"/>
  <c r="H12" i="13"/>
  <c r="G12" i="13"/>
  <c r="K12" i="13"/>
  <c r="E12" i="13"/>
  <c r="D12" i="13"/>
  <c r="C12" i="13"/>
  <c r="B12" i="13"/>
  <c r="F12" i="13" s="1"/>
  <c r="J12" i="11"/>
  <c r="I12" i="11"/>
  <c r="K12" i="11" s="1"/>
  <c r="H12" i="11"/>
  <c r="F12" i="11"/>
  <c r="E12" i="11"/>
  <c r="D12" i="11"/>
  <c r="D50" i="11" s="1"/>
  <c r="D52" i="11" s="1"/>
  <c r="D38" i="5" s="1"/>
  <c r="C12" i="11"/>
  <c r="B12" i="11"/>
  <c r="G12" i="11" s="1"/>
  <c r="K12" i="10"/>
  <c r="L12" i="10"/>
  <c r="J12" i="10"/>
  <c r="I12" i="10"/>
  <c r="N12" i="10" s="1"/>
  <c r="G12" i="10"/>
  <c r="D12" i="10"/>
  <c r="C12" i="10"/>
  <c r="AH12" i="13"/>
  <c r="B12" i="10"/>
  <c r="AI14" i="13"/>
  <c r="AF14" i="13"/>
  <c r="AD14" i="13"/>
  <c r="AC14" i="13"/>
  <c r="AE14" i="13"/>
  <c r="AB14" i="13"/>
  <c r="AA14" i="13"/>
  <c r="Y14" i="13"/>
  <c r="X14" i="13"/>
  <c r="W14" i="13"/>
  <c r="V14" i="13"/>
  <c r="Z14" i="13" s="1"/>
  <c r="T14" i="13"/>
  <c r="S14" i="13"/>
  <c r="R14" i="13"/>
  <c r="Q14" i="13"/>
  <c r="U14" i="13"/>
  <c r="O14" i="13"/>
  <c r="N14" i="13"/>
  <c r="M14" i="13"/>
  <c r="L14" i="13"/>
  <c r="J14" i="13"/>
  <c r="I14" i="13"/>
  <c r="H14" i="13"/>
  <c r="K14" i="13"/>
  <c r="G14" i="13"/>
  <c r="E14" i="13"/>
  <c r="D14" i="13"/>
  <c r="C14" i="13"/>
  <c r="B14" i="13"/>
  <c r="F14" i="13"/>
  <c r="J14" i="11"/>
  <c r="I14" i="11"/>
  <c r="H14" i="11"/>
  <c r="K14" i="11" s="1"/>
  <c r="F14" i="11"/>
  <c r="E14" i="11"/>
  <c r="D14" i="11"/>
  <c r="C14" i="11"/>
  <c r="B14" i="11"/>
  <c r="M14" i="10"/>
  <c r="L14" i="10"/>
  <c r="K14" i="10"/>
  <c r="I14" i="10"/>
  <c r="G14" i="10"/>
  <c r="F14" i="10"/>
  <c r="E14" i="10"/>
  <c r="D14" i="10"/>
  <c r="C14" i="10"/>
  <c r="B14" i="10"/>
  <c r="AI25" i="13"/>
  <c r="AF25" i="13"/>
  <c r="AE25" i="13"/>
  <c r="AB25" i="13"/>
  <c r="AA25" i="13"/>
  <c r="Y25" i="13"/>
  <c r="X25" i="13"/>
  <c r="W25" i="13"/>
  <c r="V25" i="13"/>
  <c r="Z25" i="13" s="1"/>
  <c r="T25" i="13"/>
  <c r="S25" i="13"/>
  <c r="R25" i="13"/>
  <c r="Q25" i="13"/>
  <c r="U25" i="13"/>
  <c r="O25" i="13"/>
  <c r="N25" i="13"/>
  <c r="M25" i="13"/>
  <c r="L25" i="13"/>
  <c r="P25" i="13" s="1"/>
  <c r="J25" i="13"/>
  <c r="I25" i="13"/>
  <c r="H25" i="13"/>
  <c r="K25" i="13"/>
  <c r="G25" i="13"/>
  <c r="E25" i="13"/>
  <c r="D25" i="13"/>
  <c r="C25" i="13"/>
  <c r="B25" i="13"/>
  <c r="F25" i="13"/>
  <c r="M25" i="10"/>
  <c r="L25" i="10"/>
  <c r="K25" i="10"/>
  <c r="J25" i="10"/>
  <c r="I25" i="10"/>
  <c r="F25" i="10"/>
  <c r="E25" i="10"/>
  <c r="G25" i="10"/>
  <c r="D25" i="10"/>
  <c r="C25" i="10"/>
  <c r="B25" i="10"/>
  <c r="AG25" i="13" s="1"/>
  <c r="AI43" i="13"/>
  <c r="AF43" i="13"/>
  <c r="AE43" i="13"/>
  <c r="AD43" i="13"/>
  <c r="AB43" i="13"/>
  <c r="AA43" i="13"/>
  <c r="Y43" i="13"/>
  <c r="X43" i="13"/>
  <c r="W43" i="13"/>
  <c r="V43" i="13"/>
  <c r="Z43" i="13"/>
  <c r="T43" i="13"/>
  <c r="S43" i="13"/>
  <c r="R43" i="13"/>
  <c r="U43" i="13"/>
  <c r="Q43" i="13"/>
  <c r="O43" i="13"/>
  <c r="N43" i="13"/>
  <c r="M43" i="13"/>
  <c r="L43" i="13"/>
  <c r="P43" i="13"/>
  <c r="J43" i="13"/>
  <c r="I43" i="13"/>
  <c r="H43" i="13"/>
  <c r="G43" i="13"/>
  <c r="K43" i="13" s="1"/>
  <c r="E43" i="13"/>
  <c r="D43" i="13"/>
  <c r="C43" i="13"/>
  <c r="B43" i="13"/>
  <c r="J43" i="11"/>
  <c r="I43" i="11"/>
  <c r="H43" i="11"/>
  <c r="F43" i="11"/>
  <c r="E43" i="11"/>
  <c r="D43" i="11"/>
  <c r="C43" i="11"/>
  <c r="B43" i="11"/>
  <c r="M43" i="10"/>
  <c r="L43" i="10"/>
  <c r="K43" i="10"/>
  <c r="I43" i="10"/>
  <c r="G43" i="10"/>
  <c r="D43" i="10"/>
  <c r="C43" i="10"/>
  <c r="B43" i="10"/>
  <c r="AF9" i="13"/>
  <c r="AI9" i="13"/>
  <c r="AD9" i="13"/>
  <c r="AA9" i="13"/>
  <c r="Y9" i="13"/>
  <c r="X9" i="13"/>
  <c r="W9" i="13"/>
  <c r="V9" i="13"/>
  <c r="R9" i="13"/>
  <c r="T9" i="13"/>
  <c r="S9" i="13"/>
  <c r="Q9" i="13"/>
  <c r="O9" i="13"/>
  <c r="N9" i="13"/>
  <c r="M9" i="13"/>
  <c r="L9" i="13"/>
  <c r="P9" i="13" s="1"/>
  <c r="G9" i="13"/>
  <c r="J9" i="13"/>
  <c r="I9" i="13"/>
  <c r="H9" i="13"/>
  <c r="K9" i="13"/>
  <c r="E9" i="13"/>
  <c r="D9" i="13"/>
  <c r="C9" i="13"/>
  <c r="B9" i="13"/>
  <c r="J9" i="11"/>
  <c r="I9" i="11"/>
  <c r="H9" i="11"/>
  <c r="C9" i="11"/>
  <c r="F9" i="11"/>
  <c r="E9" i="11"/>
  <c r="D9" i="11"/>
  <c r="B9" i="11"/>
  <c r="L9" i="10"/>
  <c r="G9" i="10"/>
  <c r="C9" i="10"/>
  <c r="B9" i="10"/>
  <c r="T29" i="13"/>
  <c r="S29" i="13"/>
  <c r="Q29" i="13"/>
  <c r="U29" i="13"/>
  <c r="R29" i="13"/>
  <c r="O29" i="13"/>
  <c r="N29" i="13"/>
  <c r="M29" i="13"/>
  <c r="L29" i="13"/>
  <c r="P29" i="13"/>
  <c r="AI38" i="13"/>
  <c r="AF38" i="13"/>
  <c r="AE38" i="13"/>
  <c r="AD38" i="13"/>
  <c r="AC38" i="13"/>
  <c r="AB38" i="13"/>
  <c r="AA38" i="13"/>
  <c r="Y38" i="13"/>
  <c r="X38" i="13"/>
  <c r="W38" i="13"/>
  <c r="V38" i="13"/>
  <c r="Z38" i="13"/>
  <c r="T38" i="13"/>
  <c r="S38" i="13"/>
  <c r="R38" i="13"/>
  <c r="Q38" i="13"/>
  <c r="O38" i="13"/>
  <c r="N38" i="13"/>
  <c r="M38" i="13"/>
  <c r="L38" i="13"/>
  <c r="P38" i="13" s="1"/>
  <c r="J38" i="13"/>
  <c r="I38" i="13"/>
  <c r="H38" i="13"/>
  <c r="G38" i="13"/>
  <c r="K38" i="13"/>
  <c r="E38" i="13"/>
  <c r="D38" i="13"/>
  <c r="C38" i="13"/>
  <c r="B38" i="13"/>
  <c r="F38" i="13" s="1"/>
  <c r="O44" i="13"/>
  <c r="N44" i="13"/>
  <c r="M44" i="13"/>
  <c r="L44" i="13"/>
  <c r="E44" i="13"/>
  <c r="D44" i="13"/>
  <c r="C44" i="13"/>
  <c r="B44" i="13"/>
  <c r="F44" i="13"/>
  <c r="T34" i="13"/>
  <c r="S34" i="13"/>
  <c r="R34" i="13"/>
  <c r="Q34" i="13"/>
  <c r="U34" i="13" s="1"/>
  <c r="O34" i="13"/>
  <c r="N34" i="13"/>
  <c r="M34" i="13"/>
  <c r="L34" i="13"/>
  <c r="P34" i="13"/>
  <c r="G34" i="13"/>
  <c r="E34" i="13"/>
  <c r="D34" i="13"/>
  <c r="C34" i="13"/>
  <c r="B34" i="13"/>
  <c r="G14" i="9"/>
  <c r="D14" i="8"/>
  <c r="C14" i="8"/>
  <c r="B14" i="8"/>
  <c r="F14" i="9"/>
  <c r="H14" i="9" s="1"/>
  <c r="M14" i="7"/>
  <c r="L14" i="7"/>
  <c r="F14" i="8" s="1"/>
  <c r="K14" i="7"/>
  <c r="N14" i="7"/>
  <c r="E14" i="7"/>
  <c r="H14" i="7"/>
  <c r="M14" i="8" s="1"/>
  <c r="B14" i="9" s="1"/>
  <c r="I14" i="7"/>
  <c r="H14" i="8"/>
  <c r="D14" i="7"/>
  <c r="C14" i="7"/>
  <c r="F14" i="7" s="1"/>
  <c r="J14" i="7"/>
  <c r="B14" i="7"/>
  <c r="L14" i="6"/>
  <c r="J14" i="6"/>
  <c r="I14" i="6"/>
  <c r="M14" i="6" s="1"/>
  <c r="D14" i="6"/>
  <c r="C14" i="6"/>
  <c r="G14" i="6"/>
  <c r="B14" i="6"/>
  <c r="J14" i="8"/>
  <c r="G19" i="9"/>
  <c r="L19" i="7"/>
  <c r="D19" i="8"/>
  <c r="C19" i="8"/>
  <c r="B19" i="8"/>
  <c r="M19" i="7"/>
  <c r="K19" i="7"/>
  <c r="N19" i="7"/>
  <c r="E19" i="7"/>
  <c r="H19" i="7"/>
  <c r="M19" i="8" s="1"/>
  <c r="B19" i="9"/>
  <c r="D19" i="9" s="1"/>
  <c r="D19" i="7"/>
  <c r="C19" i="7"/>
  <c r="F19" i="7" s="1"/>
  <c r="J19" i="7" s="1"/>
  <c r="B19" i="7"/>
  <c r="G19" i="8"/>
  <c r="L19" i="6"/>
  <c r="K19" i="6"/>
  <c r="J19" i="6"/>
  <c r="I19" i="6"/>
  <c r="M19" i="6" s="1"/>
  <c r="G19" i="6"/>
  <c r="D19" i="6"/>
  <c r="C19" i="6"/>
  <c r="K19" i="8" s="1"/>
  <c r="B19" i="6"/>
  <c r="G18" i="9"/>
  <c r="I37" i="8"/>
  <c r="I29" i="8"/>
  <c r="I31" i="8"/>
  <c r="I32" i="8"/>
  <c r="I33" i="8"/>
  <c r="I34" i="8"/>
  <c r="I35" i="8"/>
  <c r="I21" i="8"/>
  <c r="I22" i="8"/>
  <c r="I23" i="8"/>
  <c r="I25" i="8"/>
  <c r="I11" i="8"/>
  <c r="I13" i="8"/>
  <c r="I14" i="8"/>
  <c r="I15" i="8"/>
  <c r="I16" i="8"/>
  <c r="I17" i="8"/>
  <c r="I19" i="8"/>
  <c r="I6" i="8"/>
  <c r="I7" i="8"/>
  <c r="I8" i="8"/>
  <c r="I9" i="8"/>
  <c r="I5" i="8"/>
  <c r="H29" i="8"/>
  <c r="H30" i="8"/>
  <c r="H31" i="8"/>
  <c r="H32" i="8"/>
  <c r="H34" i="8"/>
  <c r="H35" i="8"/>
  <c r="H21" i="8"/>
  <c r="H22" i="8"/>
  <c r="H25" i="8"/>
  <c r="H26" i="8"/>
  <c r="H11" i="8"/>
  <c r="H13" i="8"/>
  <c r="H15" i="8"/>
  <c r="H16" i="8"/>
  <c r="H17" i="8"/>
  <c r="H19" i="8"/>
  <c r="H6" i="8"/>
  <c r="H7" i="8"/>
  <c r="H8" i="8"/>
  <c r="H9" i="8"/>
  <c r="D18" i="8"/>
  <c r="C18" i="8"/>
  <c r="B18" i="8"/>
  <c r="F18" i="9"/>
  <c r="H18" i="9" s="1"/>
  <c r="M18" i="7"/>
  <c r="L18" i="8" s="1"/>
  <c r="L18" i="7"/>
  <c r="K18" i="7"/>
  <c r="N18" i="7"/>
  <c r="D18" i="7"/>
  <c r="E18" i="7"/>
  <c r="H18" i="7"/>
  <c r="M18" i="8"/>
  <c r="B18" i="9" s="1"/>
  <c r="I18" i="7"/>
  <c r="H18" i="8" s="1"/>
  <c r="G18" i="7"/>
  <c r="I18" i="8" s="1"/>
  <c r="C18" i="7"/>
  <c r="B18" i="7"/>
  <c r="L18" i="6"/>
  <c r="J18" i="6"/>
  <c r="M18" i="6"/>
  <c r="I18" i="6"/>
  <c r="G18" i="6"/>
  <c r="D18" i="6"/>
  <c r="C18" i="6"/>
  <c r="K18" i="8" s="1"/>
  <c r="B18" i="6"/>
  <c r="G31" i="9"/>
  <c r="B31" i="8"/>
  <c r="F31" i="9" s="1"/>
  <c r="C31" i="8"/>
  <c r="E31" i="8" s="1"/>
  <c r="D31" i="8"/>
  <c r="M31" i="7"/>
  <c r="L31" i="8" s="1"/>
  <c r="L31" i="7"/>
  <c r="F31" i="8"/>
  <c r="K31" i="7"/>
  <c r="C31" i="9"/>
  <c r="H31" i="7"/>
  <c r="M31" i="8"/>
  <c r="B31" i="9" s="1"/>
  <c r="E31" i="9" s="1"/>
  <c r="E31" i="7"/>
  <c r="D31" i="7"/>
  <c r="C31" i="7"/>
  <c r="F31" i="7" s="1"/>
  <c r="J31" i="7" s="1"/>
  <c r="B31" i="7"/>
  <c r="L31" i="6"/>
  <c r="K31" i="6"/>
  <c r="J31" i="6"/>
  <c r="I31" i="6"/>
  <c r="G31" i="6"/>
  <c r="D31" i="6"/>
  <c r="N31" i="8"/>
  <c r="C31" i="6"/>
  <c r="K31" i="8"/>
  <c r="B31" i="6"/>
  <c r="H31" i="6" s="1"/>
  <c r="G27" i="9"/>
  <c r="D27" i="8"/>
  <c r="C27" i="8"/>
  <c r="B27" i="8"/>
  <c r="K27" i="7"/>
  <c r="M27" i="7"/>
  <c r="L27" i="7"/>
  <c r="F27" i="8" s="1"/>
  <c r="E27" i="7"/>
  <c r="I27" i="7"/>
  <c r="H27" i="8"/>
  <c r="H27" i="7"/>
  <c r="G27" i="7"/>
  <c r="I27" i="8" s="1"/>
  <c r="D27" i="7"/>
  <c r="C27" i="7"/>
  <c r="F27" i="7" s="1"/>
  <c r="B27" i="7"/>
  <c r="L27" i="6"/>
  <c r="J27" i="6"/>
  <c r="I27" i="6"/>
  <c r="M27" i="6" s="1"/>
  <c r="G27" i="6"/>
  <c r="D27" i="6"/>
  <c r="C27" i="6"/>
  <c r="H27" i="6"/>
  <c r="N27" i="8" s="1"/>
  <c r="B27" i="6"/>
  <c r="G20" i="9"/>
  <c r="L21" i="8"/>
  <c r="L14" i="8"/>
  <c r="L7" i="8"/>
  <c r="D20" i="8"/>
  <c r="C20" i="8"/>
  <c r="E20" i="8" s="1"/>
  <c r="E36" i="8" s="1"/>
  <c r="E38" i="8" s="1"/>
  <c r="B20" i="8"/>
  <c r="F20" i="9"/>
  <c r="H20" i="9" s="1"/>
  <c r="M20" i="7"/>
  <c r="L20" i="8" s="1"/>
  <c r="L20" i="7"/>
  <c r="F20" i="8" s="1"/>
  <c r="K20" i="7"/>
  <c r="C20" i="9" s="1"/>
  <c r="E20" i="7"/>
  <c r="I20" i="7"/>
  <c r="I36" i="7"/>
  <c r="I38" i="7" s="1"/>
  <c r="H20" i="7"/>
  <c r="M20" i="8" s="1"/>
  <c r="B20" i="9"/>
  <c r="D20" i="9" s="1"/>
  <c r="G20" i="7"/>
  <c r="I20" i="8"/>
  <c r="D20" i="7"/>
  <c r="C20" i="7"/>
  <c r="F20" i="7" s="1"/>
  <c r="J20" i="7" s="1"/>
  <c r="B20" i="7"/>
  <c r="G20" i="8"/>
  <c r="L20" i="6"/>
  <c r="J20" i="6"/>
  <c r="I20" i="6"/>
  <c r="M20" i="6" s="1"/>
  <c r="C20" i="6"/>
  <c r="K20" i="8"/>
  <c r="B20" i="6"/>
  <c r="J20" i="8"/>
  <c r="G20" i="6"/>
  <c r="D20" i="6"/>
  <c r="J38" i="11"/>
  <c r="I38" i="11"/>
  <c r="H38" i="11"/>
  <c r="C38" i="11"/>
  <c r="F38" i="11"/>
  <c r="E38" i="11"/>
  <c r="D38" i="11"/>
  <c r="B38" i="11"/>
  <c r="M38" i="10"/>
  <c r="L38" i="10"/>
  <c r="K38" i="10"/>
  <c r="I38" i="10"/>
  <c r="G38" i="10"/>
  <c r="D38" i="10"/>
  <c r="C38" i="10"/>
  <c r="B38" i="10"/>
  <c r="AG38" i="13" s="1"/>
  <c r="AI40" i="13"/>
  <c r="AF40" i="13"/>
  <c r="AE40" i="13"/>
  <c r="AD40" i="13"/>
  <c r="AB40" i="13"/>
  <c r="AA40" i="13"/>
  <c r="Y40" i="13"/>
  <c r="X40" i="13"/>
  <c r="W40" i="13"/>
  <c r="Z40" i="13"/>
  <c r="V40" i="13"/>
  <c r="T40" i="13"/>
  <c r="S40" i="13"/>
  <c r="R40" i="13"/>
  <c r="Q40" i="13"/>
  <c r="O40" i="13"/>
  <c r="N40" i="13"/>
  <c r="M40" i="13"/>
  <c r="L40" i="13"/>
  <c r="J40" i="13"/>
  <c r="I40" i="13"/>
  <c r="H40" i="13"/>
  <c r="G40" i="13"/>
  <c r="E40" i="13"/>
  <c r="D40" i="13"/>
  <c r="C40" i="13"/>
  <c r="B40" i="13"/>
  <c r="D40" i="11"/>
  <c r="F40" i="11"/>
  <c r="J40" i="11"/>
  <c r="I40" i="11"/>
  <c r="H40" i="11"/>
  <c r="E40" i="11"/>
  <c r="C40" i="11"/>
  <c r="B40" i="11"/>
  <c r="M40" i="10"/>
  <c r="L40" i="10"/>
  <c r="K40" i="10"/>
  <c r="J40" i="10"/>
  <c r="I40" i="10"/>
  <c r="G40" i="10"/>
  <c r="D40" i="10"/>
  <c r="C40" i="10"/>
  <c r="AH40" i="13" s="1"/>
  <c r="B40" i="10"/>
  <c r="AG40" i="13" s="1"/>
  <c r="AI28" i="13"/>
  <c r="AF28" i="13"/>
  <c r="AE28" i="13"/>
  <c r="AD28" i="13"/>
  <c r="AC28" i="13"/>
  <c r="AB28" i="13"/>
  <c r="AA28" i="13"/>
  <c r="Y28" i="13"/>
  <c r="X28" i="13"/>
  <c r="W28" i="13"/>
  <c r="V28" i="13"/>
  <c r="Z28" i="13" s="1"/>
  <c r="T28" i="13"/>
  <c r="S28" i="13"/>
  <c r="R28" i="13"/>
  <c r="Q28" i="13"/>
  <c r="O28" i="13"/>
  <c r="N28" i="13"/>
  <c r="M28" i="13"/>
  <c r="P28" i="13" s="1"/>
  <c r="L28" i="13"/>
  <c r="J28" i="13"/>
  <c r="I28" i="13"/>
  <c r="H28" i="13"/>
  <c r="G28" i="13"/>
  <c r="K28" i="13" s="1"/>
  <c r="C28" i="13"/>
  <c r="E28" i="13"/>
  <c r="D28" i="13"/>
  <c r="F28" i="13" s="1"/>
  <c r="B28" i="13"/>
  <c r="J28" i="11"/>
  <c r="I28" i="11"/>
  <c r="H28" i="11"/>
  <c r="D28" i="11"/>
  <c r="C28" i="11"/>
  <c r="G28" i="11" s="1"/>
  <c r="M28" i="10"/>
  <c r="L28" i="10"/>
  <c r="K28" i="10"/>
  <c r="J28" i="10"/>
  <c r="I28" i="10"/>
  <c r="G28" i="10"/>
  <c r="D28" i="10"/>
  <c r="C28" i="10"/>
  <c r="B28" i="10"/>
  <c r="AI44" i="13"/>
  <c r="AF44" i="13"/>
  <c r="AE44" i="13"/>
  <c r="AD44" i="13"/>
  <c r="AC44" i="13"/>
  <c r="AB44" i="13"/>
  <c r="AA44" i="13"/>
  <c r="Y44" i="13"/>
  <c r="X44" i="13"/>
  <c r="W44" i="13"/>
  <c r="V44" i="13"/>
  <c r="Z44" i="13" s="1"/>
  <c r="AE45" i="13"/>
  <c r="AE22" i="13"/>
  <c r="T44" i="13"/>
  <c r="J44" i="13"/>
  <c r="S44" i="13"/>
  <c r="I44" i="13"/>
  <c r="R44" i="13"/>
  <c r="U44" i="13" s="1"/>
  <c r="H44" i="13"/>
  <c r="Q44" i="13"/>
  <c r="G44" i="13"/>
  <c r="K44" i="13" s="1"/>
  <c r="J44" i="11"/>
  <c r="I44" i="11"/>
  <c r="H44" i="11"/>
  <c r="F44" i="11"/>
  <c r="E44" i="11"/>
  <c r="D44" i="11"/>
  <c r="C44" i="11"/>
  <c r="B44" i="11"/>
  <c r="G44" i="11" s="1"/>
  <c r="M44" i="10"/>
  <c r="L44" i="10"/>
  <c r="K44" i="10"/>
  <c r="I44" i="10"/>
  <c r="G44" i="10"/>
  <c r="D44" i="10"/>
  <c r="C44" i="10"/>
  <c r="AH44" i="13"/>
  <c r="B44" i="10"/>
  <c r="AI20" i="13"/>
  <c r="AF20" i="13"/>
  <c r="AE20" i="13"/>
  <c r="AD20" i="13"/>
  <c r="AB20" i="13"/>
  <c r="AA20" i="13"/>
  <c r="Y20" i="13"/>
  <c r="X20" i="13"/>
  <c r="W20" i="13"/>
  <c r="V20" i="13"/>
  <c r="Z20" i="13"/>
  <c r="T20" i="13"/>
  <c r="S20" i="13"/>
  <c r="R20" i="13"/>
  <c r="Q20" i="13"/>
  <c r="U20" i="13" s="1"/>
  <c r="O20" i="13"/>
  <c r="N20" i="13"/>
  <c r="M20" i="13"/>
  <c r="L20" i="13"/>
  <c r="J20" i="13"/>
  <c r="I20" i="13"/>
  <c r="H20" i="13"/>
  <c r="G20" i="13"/>
  <c r="K20" i="13" s="1"/>
  <c r="B20" i="13"/>
  <c r="E20" i="13"/>
  <c r="D20" i="13"/>
  <c r="C20" i="13"/>
  <c r="F20" i="13" s="1"/>
  <c r="J20" i="11"/>
  <c r="I20" i="11"/>
  <c r="H20" i="11"/>
  <c r="F20" i="11"/>
  <c r="E20" i="11"/>
  <c r="D20" i="11"/>
  <c r="C20" i="11"/>
  <c r="B20" i="11"/>
  <c r="L20" i="10"/>
  <c r="M20" i="10"/>
  <c r="K20" i="10"/>
  <c r="I20" i="10"/>
  <c r="G20" i="10"/>
  <c r="D20" i="10"/>
  <c r="C20" i="10"/>
  <c r="AH20" i="13" s="1"/>
  <c r="B20" i="10"/>
  <c r="AG20" i="13" s="1"/>
  <c r="AI34" i="13"/>
  <c r="AF34" i="13"/>
  <c r="AE34" i="13"/>
  <c r="AE29" i="13"/>
  <c r="AE48" i="13"/>
  <c r="AE27" i="13"/>
  <c r="AD34" i="13"/>
  <c r="AB34" i="13"/>
  <c r="AA34" i="13"/>
  <c r="Y34" i="13"/>
  <c r="X34" i="13"/>
  <c r="W34" i="13"/>
  <c r="V34" i="13"/>
  <c r="Z34" i="13" s="1"/>
  <c r="J34" i="13"/>
  <c r="I34" i="13"/>
  <c r="H34" i="13"/>
  <c r="K34" i="13" s="1"/>
  <c r="AI27" i="13"/>
  <c r="AF27" i="13"/>
  <c r="AD27" i="13"/>
  <c r="AB27" i="13"/>
  <c r="AA27" i="13"/>
  <c r="Y27" i="13"/>
  <c r="X27" i="13"/>
  <c r="W27" i="13"/>
  <c r="V27" i="13"/>
  <c r="Z27" i="13" s="1"/>
  <c r="T27" i="13"/>
  <c r="S27" i="13"/>
  <c r="R27" i="13"/>
  <c r="Q27" i="13"/>
  <c r="U27" i="13" s="1"/>
  <c r="O27" i="13"/>
  <c r="N27" i="13"/>
  <c r="M27" i="13"/>
  <c r="L27" i="13"/>
  <c r="J27" i="13"/>
  <c r="I27" i="13"/>
  <c r="H27" i="13"/>
  <c r="G27" i="13"/>
  <c r="K27" i="13" s="1"/>
  <c r="E27" i="13"/>
  <c r="D27" i="13"/>
  <c r="C27" i="13"/>
  <c r="B27" i="13"/>
  <c r="F27" i="13" s="1"/>
  <c r="J27" i="11"/>
  <c r="I27" i="11"/>
  <c r="H27" i="11"/>
  <c r="F27" i="11"/>
  <c r="E27" i="11"/>
  <c r="D27" i="11"/>
  <c r="C27" i="11"/>
  <c r="B27" i="11"/>
  <c r="M27" i="10"/>
  <c r="L27" i="10"/>
  <c r="K27" i="10"/>
  <c r="I27" i="10"/>
  <c r="G27" i="10"/>
  <c r="D27" i="10"/>
  <c r="C27" i="10"/>
  <c r="B27" i="10"/>
  <c r="AG27" i="13"/>
  <c r="J34" i="11"/>
  <c r="I34" i="11"/>
  <c r="H34" i="11"/>
  <c r="F34" i="11"/>
  <c r="E34" i="11"/>
  <c r="C34" i="11"/>
  <c r="D34" i="11"/>
  <c r="B34" i="11"/>
  <c r="M34" i="10"/>
  <c r="L34" i="10"/>
  <c r="K34" i="10"/>
  <c r="I34" i="10"/>
  <c r="G34" i="10"/>
  <c r="D34" i="10"/>
  <c r="C34" i="10"/>
  <c r="B34" i="10"/>
  <c r="AI29" i="13"/>
  <c r="AF29" i="13"/>
  <c r="AE21" i="13"/>
  <c r="AE15" i="13"/>
  <c r="AE7" i="13"/>
  <c r="AD29" i="13"/>
  <c r="AB29" i="13"/>
  <c r="AA29" i="13"/>
  <c r="Y29" i="13"/>
  <c r="X29" i="13"/>
  <c r="W29" i="13"/>
  <c r="V29" i="13"/>
  <c r="I29" i="13"/>
  <c r="J29" i="13"/>
  <c r="H29" i="13"/>
  <c r="G29" i="13"/>
  <c r="K29" i="13" s="1"/>
  <c r="E29" i="13"/>
  <c r="D29" i="13"/>
  <c r="C29" i="13"/>
  <c r="B29" i="13"/>
  <c r="F29" i="13"/>
  <c r="J29" i="11"/>
  <c r="I29" i="11"/>
  <c r="K29" i="11" s="1"/>
  <c r="H29" i="11"/>
  <c r="F29" i="11"/>
  <c r="E29" i="11"/>
  <c r="D29" i="11"/>
  <c r="C29" i="11"/>
  <c r="B29" i="11"/>
  <c r="M29" i="10"/>
  <c r="L29" i="10"/>
  <c r="K29" i="10"/>
  <c r="I29" i="10"/>
  <c r="N29" i="10" s="1"/>
  <c r="G29" i="10"/>
  <c r="D29" i="10"/>
  <c r="C29" i="10"/>
  <c r="AH29" i="13"/>
  <c r="B29" i="10"/>
  <c r="AI16" i="13"/>
  <c r="AF16" i="13"/>
  <c r="AE16" i="13"/>
  <c r="AD16" i="13"/>
  <c r="AC16" i="13"/>
  <c r="AB16" i="13"/>
  <c r="AA16" i="13"/>
  <c r="Y16" i="13"/>
  <c r="X16" i="13"/>
  <c r="W16" i="13"/>
  <c r="V16" i="13"/>
  <c r="Z16" i="13" s="1"/>
  <c r="T16" i="13"/>
  <c r="S16" i="13"/>
  <c r="R16" i="13"/>
  <c r="Q16" i="13"/>
  <c r="U16" i="13"/>
  <c r="O16" i="13"/>
  <c r="N16" i="13"/>
  <c r="M16" i="13"/>
  <c r="L16" i="13"/>
  <c r="P16" i="13" s="1"/>
  <c r="J16" i="13"/>
  <c r="I16" i="13"/>
  <c r="H16" i="13"/>
  <c r="K16" i="13" s="1"/>
  <c r="G16" i="13"/>
  <c r="C16" i="13"/>
  <c r="E16" i="13"/>
  <c r="D16" i="13"/>
  <c r="B16" i="13"/>
  <c r="F16" i="13"/>
  <c r="J16" i="11"/>
  <c r="I16" i="11"/>
  <c r="H16" i="11"/>
  <c r="F16" i="11"/>
  <c r="E16" i="11"/>
  <c r="D16" i="11"/>
  <c r="C16" i="11"/>
  <c r="B16" i="11"/>
  <c r="G16" i="11" s="1"/>
  <c r="M16" i="10"/>
  <c r="L16" i="10"/>
  <c r="K16" i="10"/>
  <c r="I16" i="10"/>
  <c r="G16" i="10"/>
  <c r="D16" i="10"/>
  <c r="C16" i="10"/>
  <c r="B16" i="10"/>
  <c r="AI7" i="13"/>
  <c r="AF7" i="13"/>
  <c r="AD7" i="13"/>
  <c r="AB7" i="13"/>
  <c r="AA7" i="13"/>
  <c r="Y7" i="13"/>
  <c r="X7" i="13"/>
  <c r="W7" i="13"/>
  <c r="Z7" i="13" s="1"/>
  <c r="V7" i="13"/>
  <c r="T7" i="13"/>
  <c r="S7" i="13"/>
  <c r="R7" i="13"/>
  <c r="Q7" i="13"/>
  <c r="O7" i="13"/>
  <c r="N7" i="13"/>
  <c r="M7" i="13"/>
  <c r="P7" i="13"/>
  <c r="L7" i="13"/>
  <c r="J7" i="13"/>
  <c r="I7" i="13"/>
  <c r="H7" i="13"/>
  <c r="G7" i="13"/>
  <c r="E7" i="13"/>
  <c r="D7" i="13"/>
  <c r="C7" i="13"/>
  <c r="B7" i="13"/>
  <c r="F7" i="13" s="1"/>
  <c r="J7" i="11"/>
  <c r="I7" i="11"/>
  <c r="H7" i="11"/>
  <c r="C7" i="11"/>
  <c r="F7" i="11"/>
  <c r="E7" i="11"/>
  <c r="D7" i="11"/>
  <c r="B7" i="11"/>
  <c r="M7" i="10"/>
  <c r="K7" i="10"/>
  <c r="L7" i="10"/>
  <c r="J7" i="10"/>
  <c r="I7" i="10"/>
  <c r="C7" i="10"/>
  <c r="AH7" i="13" s="1"/>
  <c r="B7" i="10"/>
  <c r="G7" i="10"/>
  <c r="D7" i="10"/>
  <c r="AI15" i="13"/>
  <c r="AF15" i="13"/>
  <c r="AD15" i="13"/>
  <c r="AC15" i="13"/>
  <c r="AB15" i="13"/>
  <c r="AA15" i="13"/>
  <c r="Y15" i="13"/>
  <c r="X15" i="13"/>
  <c r="W15" i="13"/>
  <c r="V15" i="13"/>
  <c r="Z15" i="13"/>
  <c r="S15" i="13"/>
  <c r="T15" i="13"/>
  <c r="R15" i="13"/>
  <c r="U15" i="13"/>
  <c r="Q15" i="13"/>
  <c r="O15" i="13"/>
  <c r="N15" i="13"/>
  <c r="M15" i="13"/>
  <c r="L15" i="13"/>
  <c r="P15" i="13"/>
  <c r="J15" i="13"/>
  <c r="I15" i="13"/>
  <c r="H15" i="13"/>
  <c r="G15" i="13"/>
  <c r="K15" i="13" s="1"/>
  <c r="E15" i="13"/>
  <c r="E50" i="13" s="1"/>
  <c r="E52" i="13" s="1"/>
  <c r="D15" i="13"/>
  <c r="C15" i="13"/>
  <c r="F15" i="13" s="1"/>
  <c r="B15" i="13"/>
  <c r="J15" i="11"/>
  <c r="I15" i="11"/>
  <c r="H15" i="11"/>
  <c r="K15" i="11" s="1"/>
  <c r="F15" i="11"/>
  <c r="E15" i="11"/>
  <c r="D15" i="11"/>
  <c r="C15" i="11"/>
  <c r="G15" i="11" s="1"/>
  <c r="B15" i="11"/>
  <c r="M15" i="10"/>
  <c r="M50" i="10" s="1"/>
  <c r="M52" i="10" s="1"/>
  <c r="L15" i="10"/>
  <c r="K15" i="10"/>
  <c r="K50" i="10" s="1"/>
  <c r="K52" i="10" s="1"/>
  <c r="J15" i="10"/>
  <c r="I15" i="10"/>
  <c r="N15" i="10" s="1"/>
  <c r="G15" i="10"/>
  <c r="D15" i="10"/>
  <c r="C15" i="10"/>
  <c r="B15" i="10"/>
  <c r="H15" i="10" s="1"/>
  <c r="AI48" i="13"/>
  <c r="AF48" i="13"/>
  <c r="AD48" i="13"/>
  <c r="AD21" i="13"/>
  <c r="AC48" i="13"/>
  <c r="AB48" i="13"/>
  <c r="AA48" i="13"/>
  <c r="Y48" i="13"/>
  <c r="X48" i="13"/>
  <c r="W48" i="13"/>
  <c r="V48" i="13"/>
  <c r="T48" i="13"/>
  <c r="S48" i="13"/>
  <c r="R48" i="13"/>
  <c r="U48" i="13" s="1"/>
  <c r="Q48" i="13"/>
  <c r="O48" i="13"/>
  <c r="N48" i="13"/>
  <c r="M48" i="13"/>
  <c r="P48" i="13" s="1"/>
  <c r="L48" i="13"/>
  <c r="J48" i="13"/>
  <c r="I48" i="13"/>
  <c r="H48" i="13"/>
  <c r="G48" i="13"/>
  <c r="E48" i="13"/>
  <c r="D48" i="13"/>
  <c r="C48" i="13"/>
  <c r="B48" i="13"/>
  <c r="F48" i="13" s="1"/>
  <c r="J48" i="11"/>
  <c r="I48" i="11"/>
  <c r="H48" i="11"/>
  <c r="F48" i="11"/>
  <c r="E48" i="11"/>
  <c r="D48" i="11"/>
  <c r="C48" i="11"/>
  <c r="G48" i="11" s="1"/>
  <c r="B48" i="11"/>
  <c r="K48" i="10"/>
  <c r="N48" i="10" s="1"/>
  <c r="M48" i="10"/>
  <c r="L48" i="10"/>
  <c r="I48" i="10"/>
  <c r="E48" i="10"/>
  <c r="F48" i="10"/>
  <c r="G48" i="10"/>
  <c r="D48" i="10"/>
  <c r="C48" i="10"/>
  <c r="B48" i="10"/>
  <c r="Z48" i="13"/>
  <c r="AI45" i="13"/>
  <c r="AF45" i="13"/>
  <c r="AD45" i="13"/>
  <c r="AB45" i="13"/>
  <c r="AA45" i="13"/>
  <c r="Y45" i="13"/>
  <c r="X45" i="13"/>
  <c r="W45" i="13"/>
  <c r="Z45" i="13" s="1"/>
  <c r="V45" i="13"/>
  <c r="T45" i="13"/>
  <c r="S45" i="13"/>
  <c r="R45" i="13"/>
  <c r="Q45" i="13"/>
  <c r="O45" i="13"/>
  <c r="N45" i="13"/>
  <c r="M45" i="13"/>
  <c r="L45" i="13"/>
  <c r="P45" i="13" s="1"/>
  <c r="G45" i="13"/>
  <c r="G50" i="13" s="1"/>
  <c r="G52" i="13" s="1"/>
  <c r="J45" i="13"/>
  <c r="I45" i="13"/>
  <c r="H45" i="13"/>
  <c r="K45" i="13"/>
  <c r="E45" i="13"/>
  <c r="D45" i="13"/>
  <c r="C45" i="13"/>
  <c r="B45" i="13"/>
  <c r="F45" i="13" s="1"/>
  <c r="J45" i="11"/>
  <c r="I45" i="11"/>
  <c r="H45" i="11"/>
  <c r="F45" i="11"/>
  <c r="E45" i="11"/>
  <c r="D45" i="11"/>
  <c r="C45" i="11"/>
  <c r="B45" i="11"/>
  <c r="M45" i="10"/>
  <c r="L45" i="10"/>
  <c r="K45" i="10"/>
  <c r="I45" i="10"/>
  <c r="G45" i="10"/>
  <c r="D45" i="10"/>
  <c r="C45" i="10"/>
  <c r="AH45" i="13" s="1"/>
  <c r="B45" i="10"/>
  <c r="AI22" i="13"/>
  <c r="AF22" i="13"/>
  <c r="AB22" i="13"/>
  <c r="AD22" i="13"/>
  <c r="AA22" i="13"/>
  <c r="Y22" i="13"/>
  <c r="X22" i="13"/>
  <c r="W22" i="13"/>
  <c r="V22" i="13"/>
  <c r="T22" i="13"/>
  <c r="S22" i="13"/>
  <c r="R22" i="13"/>
  <c r="Q22" i="13"/>
  <c r="O22" i="13"/>
  <c r="N22" i="13"/>
  <c r="M22" i="13"/>
  <c r="L22" i="13"/>
  <c r="J22" i="13"/>
  <c r="I22" i="13"/>
  <c r="H22" i="13"/>
  <c r="K22" i="13"/>
  <c r="G22" i="13"/>
  <c r="E22" i="13"/>
  <c r="D22" i="13"/>
  <c r="C22" i="13"/>
  <c r="B22" i="13"/>
  <c r="J22" i="11"/>
  <c r="I22" i="11"/>
  <c r="H22" i="11"/>
  <c r="B22" i="11"/>
  <c r="F22" i="11"/>
  <c r="E22" i="11"/>
  <c r="D22" i="11"/>
  <c r="C22" i="11"/>
  <c r="M22" i="10"/>
  <c r="L22" i="10"/>
  <c r="K22" i="10"/>
  <c r="I22" i="10"/>
  <c r="G22" i="10"/>
  <c r="D22" i="10"/>
  <c r="C22" i="10"/>
  <c r="AH22" i="13" s="1"/>
  <c r="B22" i="10"/>
  <c r="AI21" i="13"/>
  <c r="AF21" i="13"/>
  <c r="AC21" i="13"/>
  <c r="AB21" i="13"/>
  <c r="AA21" i="13"/>
  <c r="Y21" i="13"/>
  <c r="X21" i="13"/>
  <c r="W21" i="13"/>
  <c r="V21" i="13"/>
  <c r="Z21" i="13" s="1"/>
  <c r="T21" i="13"/>
  <c r="S21" i="13"/>
  <c r="R21" i="13"/>
  <c r="Q21" i="13"/>
  <c r="U21" i="13"/>
  <c r="O21" i="13"/>
  <c r="N21" i="13"/>
  <c r="M21" i="13"/>
  <c r="L21" i="13"/>
  <c r="P21" i="13" s="1"/>
  <c r="I21" i="13"/>
  <c r="J21" i="13"/>
  <c r="H21" i="13"/>
  <c r="G21" i="13"/>
  <c r="E21" i="13"/>
  <c r="D21" i="13"/>
  <c r="C21" i="13"/>
  <c r="B21" i="13"/>
  <c r="F21" i="13"/>
  <c r="J21" i="11"/>
  <c r="I21" i="11"/>
  <c r="H21" i="11"/>
  <c r="F21" i="11"/>
  <c r="E21" i="11"/>
  <c r="D21" i="11"/>
  <c r="C21" i="11"/>
  <c r="B21" i="11"/>
  <c r="M21" i="10"/>
  <c r="L21" i="10"/>
  <c r="K21" i="10"/>
  <c r="J21" i="10"/>
  <c r="I21" i="10"/>
  <c r="G21" i="10"/>
  <c r="D21" i="10"/>
  <c r="C21" i="10"/>
  <c r="B21" i="10"/>
  <c r="AI36" i="13"/>
  <c r="AF36" i="13"/>
  <c r="AE36" i="13"/>
  <c r="AD36" i="13"/>
  <c r="AC36" i="13"/>
  <c r="AA36" i="13"/>
  <c r="Y36" i="13"/>
  <c r="X36" i="13"/>
  <c r="W36" i="13"/>
  <c r="V36" i="13"/>
  <c r="Z36" i="13" s="1"/>
  <c r="T36" i="13"/>
  <c r="S36" i="13"/>
  <c r="R36" i="13"/>
  <c r="Q36" i="13"/>
  <c r="M36" i="13"/>
  <c r="O36" i="13"/>
  <c r="N36" i="13"/>
  <c r="L36" i="13"/>
  <c r="J36" i="13"/>
  <c r="I36" i="13"/>
  <c r="H36" i="13"/>
  <c r="G36" i="13"/>
  <c r="E36" i="13"/>
  <c r="D36" i="13"/>
  <c r="C36" i="13"/>
  <c r="B36" i="13"/>
  <c r="J36" i="11"/>
  <c r="I36" i="11"/>
  <c r="H36" i="11"/>
  <c r="C36" i="11"/>
  <c r="E36" i="11"/>
  <c r="F36" i="11"/>
  <c r="D36" i="11"/>
  <c r="B36" i="11"/>
  <c r="M36" i="10"/>
  <c r="L36" i="10"/>
  <c r="K36" i="10"/>
  <c r="I36" i="10"/>
  <c r="G36" i="10"/>
  <c r="D36" i="10"/>
  <c r="C36" i="10"/>
  <c r="B36" i="10"/>
  <c r="AD31" i="13"/>
  <c r="AI31" i="13"/>
  <c r="AH9" i="13"/>
  <c r="AH15" i="13"/>
  <c r="AH16" i="13"/>
  <c r="AH18" i="13"/>
  <c r="AH21" i="13"/>
  <c r="AH28" i="13"/>
  <c r="AH35" i="13"/>
  <c r="AH36" i="13"/>
  <c r="AH37" i="13"/>
  <c r="AH38" i="13"/>
  <c r="AH43" i="13"/>
  <c r="AG51" i="13"/>
  <c r="AG7" i="13"/>
  <c r="AG9" i="13"/>
  <c r="AG10" i="13"/>
  <c r="AG15" i="13"/>
  <c r="AG18" i="13"/>
  <c r="AG19" i="13"/>
  <c r="AG21" i="13"/>
  <c r="AG22" i="13"/>
  <c r="AG28" i="13"/>
  <c r="AG30" i="13"/>
  <c r="AG32" i="13"/>
  <c r="AG34" i="13"/>
  <c r="AG35" i="13"/>
  <c r="AG36" i="13"/>
  <c r="AG39" i="13"/>
  <c r="AG43" i="13"/>
  <c r="AG45" i="13"/>
  <c r="AG47" i="13"/>
  <c r="AG48" i="13"/>
  <c r="AF31" i="13"/>
  <c r="AE31" i="13"/>
  <c r="AB31" i="13"/>
  <c r="AA31" i="13"/>
  <c r="Y31" i="13"/>
  <c r="X31" i="13"/>
  <c r="W31" i="13"/>
  <c r="V31" i="13"/>
  <c r="Z31" i="13" s="1"/>
  <c r="T31" i="13"/>
  <c r="S31" i="13"/>
  <c r="R31" i="13"/>
  <c r="Q31" i="13"/>
  <c r="O31" i="13"/>
  <c r="N31" i="13"/>
  <c r="M31" i="13"/>
  <c r="L31" i="13"/>
  <c r="J31" i="13"/>
  <c r="I31" i="13"/>
  <c r="H31" i="13"/>
  <c r="K31" i="13" s="1"/>
  <c r="E31" i="13"/>
  <c r="D31" i="13"/>
  <c r="C31" i="13"/>
  <c r="G31" i="13"/>
  <c r="B31" i="13"/>
  <c r="F31" i="13" s="1"/>
  <c r="J31" i="11"/>
  <c r="I31" i="11"/>
  <c r="H31" i="11"/>
  <c r="F31" i="11"/>
  <c r="E31" i="11"/>
  <c r="D31" i="11"/>
  <c r="C31" i="11"/>
  <c r="B31" i="11"/>
  <c r="M31" i="10"/>
  <c r="L31" i="10"/>
  <c r="K31" i="10"/>
  <c r="J31" i="10"/>
  <c r="I31" i="10"/>
  <c r="F31" i="10"/>
  <c r="G31" i="10"/>
  <c r="E31" i="10"/>
  <c r="B34" i="7"/>
  <c r="D31" i="10"/>
  <c r="C31" i="10"/>
  <c r="AH31" i="13" s="1"/>
  <c r="B31" i="10"/>
  <c r="AG31" i="13" s="1"/>
  <c r="F22" i="12"/>
  <c r="G10" i="9"/>
  <c r="G26" i="8"/>
  <c r="G28" i="8"/>
  <c r="G32" i="8"/>
  <c r="G33" i="8"/>
  <c r="G21" i="8"/>
  <c r="G6" i="8"/>
  <c r="G8" i="8"/>
  <c r="G12" i="8"/>
  <c r="G13" i="8"/>
  <c r="D10" i="8"/>
  <c r="C10" i="8"/>
  <c r="B10" i="8"/>
  <c r="B15" i="8"/>
  <c r="M10" i="7"/>
  <c r="L10" i="7"/>
  <c r="F10" i="8" s="1"/>
  <c r="K10" i="7"/>
  <c r="N10" i="7" s="1"/>
  <c r="I10" i="7"/>
  <c r="G10" i="7"/>
  <c r="I10" i="8"/>
  <c r="E10" i="7"/>
  <c r="H10" i="7"/>
  <c r="M10" i="8" s="1"/>
  <c r="B10" i="9"/>
  <c r="E10" i="9" s="1"/>
  <c r="D10" i="7"/>
  <c r="C10" i="7"/>
  <c r="F10" i="7" s="1"/>
  <c r="B10" i="7"/>
  <c r="G10" i="8"/>
  <c r="L10" i="6"/>
  <c r="K10" i="6"/>
  <c r="J10" i="6"/>
  <c r="I10" i="6"/>
  <c r="M10" i="6" s="1"/>
  <c r="G10" i="6"/>
  <c r="D10" i="6"/>
  <c r="C10" i="6"/>
  <c r="K10" i="8" s="1"/>
  <c r="B10" i="6"/>
  <c r="J10" i="8" s="1"/>
  <c r="B15" i="6"/>
  <c r="J15" i="8"/>
  <c r="C32" i="12"/>
  <c r="B32" i="12"/>
  <c r="J22" i="12"/>
  <c r="D22" i="12"/>
  <c r="E22" i="12"/>
  <c r="G22" i="12"/>
  <c r="H22" i="12"/>
  <c r="I22" i="12"/>
  <c r="K22" i="12"/>
  <c r="L22" i="12"/>
  <c r="C22" i="12"/>
  <c r="B22" i="12"/>
  <c r="C24" i="9"/>
  <c r="C28" i="9"/>
  <c r="C33" i="9"/>
  <c r="C16" i="9"/>
  <c r="C18" i="9"/>
  <c r="C6" i="9"/>
  <c r="K22" i="7"/>
  <c r="M22" i="7"/>
  <c r="L22" i="8"/>
  <c r="K15" i="7"/>
  <c r="C15" i="9"/>
  <c r="M15" i="7"/>
  <c r="L15" i="8"/>
  <c r="C14" i="2"/>
  <c r="C18" i="2"/>
  <c r="C22" i="2" s="1"/>
  <c r="H34" i="7"/>
  <c r="M34" i="8"/>
  <c r="B34" i="9" s="1"/>
  <c r="G34" i="9"/>
  <c r="M35" i="8"/>
  <c r="B35" i="9"/>
  <c r="D35" i="9" s="1"/>
  <c r="M23" i="8"/>
  <c r="B23" i="9" s="1"/>
  <c r="E23" i="9" s="1"/>
  <c r="M24" i="8"/>
  <c r="B24" i="9"/>
  <c r="E24" i="9" s="1"/>
  <c r="M6" i="8"/>
  <c r="B6" i="9" s="1"/>
  <c r="E6" i="9" s="1"/>
  <c r="F35" i="8"/>
  <c r="F24" i="8"/>
  <c r="F26" i="8"/>
  <c r="F32" i="8"/>
  <c r="F33" i="8"/>
  <c r="F18" i="8"/>
  <c r="F19" i="8"/>
  <c r="F7" i="8"/>
  <c r="F9" i="8"/>
  <c r="F11" i="8"/>
  <c r="F16" i="8"/>
  <c r="F5" i="8"/>
  <c r="D34" i="8"/>
  <c r="C34" i="8"/>
  <c r="E34" i="8" s="1"/>
  <c r="B34" i="8"/>
  <c r="E34" i="7"/>
  <c r="M34" i="7"/>
  <c r="L34" i="8"/>
  <c r="L34" i="7"/>
  <c r="F34" i="8"/>
  <c r="K34" i="7"/>
  <c r="C34" i="9"/>
  <c r="D34" i="7"/>
  <c r="C34" i="7"/>
  <c r="F34" i="7" s="1"/>
  <c r="J34" i="7" s="1"/>
  <c r="L34" i="6"/>
  <c r="K34" i="6"/>
  <c r="J34" i="6"/>
  <c r="I34" i="6"/>
  <c r="M34" i="6"/>
  <c r="G34" i="6"/>
  <c r="D34" i="6"/>
  <c r="C34" i="6"/>
  <c r="B34" i="6"/>
  <c r="J34" i="8" s="1"/>
  <c r="G15" i="9"/>
  <c r="F37" i="9"/>
  <c r="H37" i="9"/>
  <c r="F28" i="9"/>
  <c r="H28" i="9"/>
  <c r="F29" i="9"/>
  <c r="H29" i="9"/>
  <c r="F30" i="9"/>
  <c r="F32" i="9"/>
  <c r="H32" i="9" s="1"/>
  <c r="F33" i="9"/>
  <c r="F19" i="9"/>
  <c r="H19" i="9"/>
  <c r="F23" i="9"/>
  <c r="H23" i="9"/>
  <c r="F24" i="9"/>
  <c r="F26" i="9"/>
  <c r="H26" i="9" s="1"/>
  <c r="F7" i="9"/>
  <c r="F9" i="9"/>
  <c r="H9" i="9" s="1"/>
  <c r="F10" i="9"/>
  <c r="H10" i="9" s="1"/>
  <c r="F11" i="9"/>
  <c r="H11" i="9" s="1"/>
  <c r="F15" i="9"/>
  <c r="H15" i="9" s="1"/>
  <c r="F16" i="9"/>
  <c r="H16" i="9"/>
  <c r="F5" i="9"/>
  <c r="K37" i="8"/>
  <c r="K27" i="8"/>
  <c r="K34" i="8"/>
  <c r="K21" i="8"/>
  <c r="K7" i="8"/>
  <c r="K36" i="8" s="1"/>
  <c r="K38" i="8" s="1"/>
  <c r="K13" i="8"/>
  <c r="K14" i="8"/>
  <c r="K17" i="8"/>
  <c r="K5" i="8"/>
  <c r="J19" i="8"/>
  <c r="J21" i="8"/>
  <c r="J23" i="8"/>
  <c r="J26" i="8"/>
  <c r="J27" i="8"/>
  <c r="J28" i="8"/>
  <c r="J30" i="8"/>
  <c r="J31" i="8"/>
  <c r="J32" i="8"/>
  <c r="J35" i="8"/>
  <c r="J6" i="8"/>
  <c r="J7" i="8"/>
  <c r="J8" i="8"/>
  <c r="J12" i="8"/>
  <c r="D15" i="8"/>
  <c r="C15" i="8"/>
  <c r="L15" i="7"/>
  <c r="N15" i="7" s="1"/>
  <c r="H15" i="7"/>
  <c r="M15" i="8" s="1"/>
  <c r="B15" i="9" s="1"/>
  <c r="E15" i="7"/>
  <c r="D15" i="7"/>
  <c r="F15" i="7"/>
  <c r="C15" i="7"/>
  <c r="B15" i="7"/>
  <c r="J15" i="7" s="1"/>
  <c r="L15" i="6"/>
  <c r="K15" i="6"/>
  <c r="J15" i="6"/>
  <c r="I15" i="6"/>
  <c r="M15" i="6"/>
  <c r="G15" i="6"/>
  <c r="D15" i="6"/>
  <c r="C15" i="6"/>
  <c r="K15" i="8" s="1"/>
  <c r="G22" i="9"/>
  <c r="D22" i="8"/>
  <c r="C22" i="8"/>
  <c r="E22" i="8" s="1"/>
  <c r="B22" i="8"/>
  <c r="F22" i="9" s="1"/>
  <c r="H22" i="9" s="1"/>
  <c r="L22" i="7"/>
  <c r="H22" i="7"/>
  <c r="M22" i="8" s="1"/>
  <c r="B22" i="9" s="1"/>
  <c r="E22" i="7"/>
  <c r="D22" i="7"/>
  <c r="C22" i="7"/>
  <c r="F22" i="7" s="1"/>
  <c r="B22" i="7"/>
  <c r="G22" i="8" s="1"/>
  <c r="L22" i="6"/>
  <c r="J22" i="6"/>
  <c r="I22" i="6"/>
  <c r="M22" i="6" s="1"/>
  <c r="G22" i="6"/>
  <c r="H22" i="6" s="1"/>
  <c r="N22" i="8" s="1"/>
  <c r="C22" i="6"/>
  <c r="K22" i="8"/>
  <c r="B22" i="6"/>
  <c r="J22" i="8"/>
  <c r="G17" i="9"/>
  <c r="D17" i="8"/>
  <c r="C17" i="8"/>
  <c r="B17" i="8"/>
  <c r="F17" i="9" s="1"/>
  <c r="H17" i="9" s="1"/>
  <c r="M17" i="7"/>
  <c r="L17" i="8" s="1"/>
  <c r="L17" i="7"/>
  <c r="F17" i="8" s="1"/>
  <c r="K17" i="7"/>
  <c r="H17" i="7"/>
  <c r="M17" i="8"/>
  <c r="B17" i="9" s="1"/>
  <c r="E17" i="7"/>
  <c r="D17" i="7"/>
  <c r="F17" i="7" s="1"/>
  <c r="J17" i="7" s="1"/>
  <c r="B17" i="7"/>
  <c r="L17" i="6"/>
  <c r="I17" i="6"/>
  <c r="B17" i="6"/>
  <c r="J17" i="6"/>
  <c r="M17" i="6"/>
  <c r="G17" i="6"/>
  <c r="D17" i="6"/>
  <c r="Z41" i="13"/>
  <c r="Z22" i="13"/>
  <c r="U41" i="13"/>
  <c r="U31" i="13"/>
  <c r="U18" i="13"/>
  <c r="U8" i="13"/>
  <c r="P47" i="13"/>
  <c r="P41" i="13"/>
  <c r="P36" i="13"/>
  <c r="P8" i="13"/>
  <c r="K41" i="13"/>
  <c r="K36" i="13"/>
  <c r="K21" i="13"/>
  <c r="K8" i="13"/>
  <c r="F41" i="13"/>
  <c r="F22" i="13"/>
  <c r="F8" i="13"/>
  <c r="L32" i="12"/>
  <c r="K32" i="12"/>
  <c r="J32" i="12"/>
  <c r="I32" i="12"/>
  <c r="H32" i="12"/>
  <c r="G32" i="12"/>
  <c r="F32" i="12"/>
  <c r="E32" i="12"/>
  <c r="D32" i="12"/>
  <c r="K48" i="11"/>
  <c r="K18" i="11"/>
  <c r="K21" i="11"/>
  <c r="K22" i="11"/>
  <c r="K25" i="11"/>
  <c r="K36" i="11"/>
  <c r="K38" i="11"/>
  <c r="K45" i="11"/>
  <c r="G18" i="11"/>
  <c r="G21" i="11"/>
  <c r="G22" i="11"/>
  <c r="G25" i="11"/>
  <c r="G36" i="11"/>
  <c r="G38" i="11"/>
  <c r="G45" i="11"/>
  <c r="N18" i="10"/>
  <c r="N19" i="10"/>
  <c r="N21" i="10"/>
  <c r="N22" i="10"/>
  <c r="N36" i="10"/>
  <c r="N38" i="10"/>
  <c r="N45" i="10"/>
  <c r="H18" i="10"/>
  <c r="AJ18" i="13"/>
  <c r="E25" i="8"/>
  <c r="E41" i="5"/>
  <c r="E34" i="5"/>
  <c r="D22" i="5"/>
  <c r="D13" i="5"/>
  <c r="C28" i="2"/>
  <c r="D40" i="3"/>
  <c r="D31" i="3"/>
  <c r="E17" i="8"/>
  <c r="F34" i="9"/>
  <c r="H34" i="9" s="1"/>
  <c r="E15" i="8"/>
  <c r="E10" i="8"/>
  <c r="P31" i="13"/>
  <c r="K31" i="11"/>
  <c r="G31" i="11"/>
  <c r="N31" i="10"/>
  <c r="H31" i="10"/>
  <c r="AJ31" i="13" s="1"/>
  <c r="K7" i="13"/>
  <c r="K7" i="11"/>
  <c r="G7" i="11"/>
  <c r="N7" i="10"/>
  <c r="K16" i="11"/>
  <c r="N16" i="10"/>
  <c r="G29" i="11"/>
  <c r="AG29" i="13"/>
  <c r="Z29" i="13"/>
  <c r="AH34" i="13"/>
  <c r="K34" i="11"/>
  <c r="G34" i="11"/>
  <c r="N34" i="10"/>
  <c r="P27" i="13"/>
  <c r="K27" i="11"/>
  <c r="G27" i="11"/>
  <c r="N27" i="10"/>
  <c r="AH27" i="13"/>
  <c r="K44" i="11"/>
  <c r="N44" i="10"/>
  <c r="AG44" i="13"/>
  <c r="P20" i="13"/>
  <c r="K20" i="11"/>
  <c r="G20" i="11"/>
  <c r="N20" i="10"/>
  <c r="P40" i="13"/>
  <c r="K40" i="11"/>
  <c r="G40" i="11"/>
  <c r="N40" i="10"/>
  <c r="U28" i="13"/>
  <c r="K28" i="11"/>
  <c r="N28" i="10"/>
  <c r="E14" i="8"/>
  <c r="G14" i="8"/>
  <c r="E19" i="8"/>
  <c r="L19" i="8"/>
  <c r="E18" i="8"/>
  <c r="H31" i="9"/>
  <c r="M31" i="6"/>
  <c r="E27" i="8"/>
  <c r="F27" i="9"/>
  <c r="H27" i="9"/>
  <c r="M27" i="8"/>
  <c r="B27" i="9"/>
  <c r="G27" i="8"/>
  <c r="N25" i="10"/>
  <c r="F43" i="13"/>
  <c r="K43" i="11"/>
  <c r="G43" i="11"/>
  <c r="N43" i="10"/>
  <c r="Z9" i="13"/>
  <c r="F9" i="13"/>
  <c r="K9" i="11"/>
  <c r="G9" i="11"/>
  <c r="N9" i="10"/>
  <c r="H9" i="10"/>
  <c r="U38" i="13"/>
  <c r="P44" i="13"/>
  <c r="F34" i="13"/>
  <c r="AJ9" i="13"/>
  <c r="N33" i="10"/>
  <c r="F32" i="13"/>
  <c r="K32" i="11"/>
  <c r="G32" i="11"/>
  <c r="N32" i="10"/>
  <c r="H32" i="10"/>
  <c r="AJ32" i="13"/>
  <c r="P13" i="13"/>
  <c r="K13" i="11"/>
  <c r="G13" i="11"/>
  <c r="N13" i="10"/>
  <c r="F47" i="13"/>
  <c r="K47" i="11"/>
  <c r="G47" i="11"/>
  <c r="N47" i="10"/>
  <c r="H47" i="10"/>
  <c r="AJ47" i="13" s="1"/>
  <c r="H12" i="10"/>
  <c r="AJ12" i="13" s="1"/>
  <c r="AG12" i="13"/>
  <c r="P14" i="13"/>
  <c r="G14" i="11"/>
  <c r="N14" i="10"/>
  <c r="AH14" i="13"/>
  <c r="H14" i="10"/>
  <c r="AJ14" i="13"/>
  <c r="AG14" i="13"/>
  <c r="K33" i="11"/>
  <c r="G33" i="11"/>
  <c r="P23" i="13"/>
  <c r="K23" i="11"/>
  <c r="G23" i="11"/>
  <c r="N23" i="10"/>
  <c r="Z6" i="13"/>
  <c r="F6" i="13"/>
  <c r="H6" i="10"/>
  <c r="AJ6" i="13" s="1"/>
  <c r="K6" i="11"/>
  <c r="G6" i="11"/>
  <c r="AG5" i="13"/>
  <c r="K17" i="11"/>
  <c r="G17" i="11"/>
  <c r="N17" i="10"/>
  <c r="F10" i="13"/>
  <c r="K10" i="11"/>
  <c r="G10" i="11"/>
  <c r="N10" i="10"/>
  <c r="H10" i="10"/>
  <c r="AJ10" i="13" s="1"/>
  <c r="K46" i="13"/>
  <c r="G46" i="11"/>
  <c r="H46" i="10"/>
  <c r="AJ46" i="13" s="1"/>
  <c r="AG46" i="13"/>
  <c r="F26" i="13"/>
  <c r="G26" i="11"/>
  <c r="N26" i="10"/>
  <c r="H26" i="10"/>
  <c r="AH26" i="13"/>
  <c r="AJ26" i="13"/>
  <c r="N41" i="10"/>
  <c r="K8" i="11"/>
  <c r="G8" i="11"/>
  <c r="N8" i="10"/>
  <c r="H8" i="10"/>
  <c r="AJ8" i="13" s="1"/>
  <c r="U49" i="13"/>
  <c r="G49" i="11"/>
  <c r="J50" i="10"/>
  <c r="J52" i="10" s="1"/>
  <c r="C9" i="5" s="1"/>
  <c r="E9" i="5" s="1"/>
  <c r="H49" i="10"/>
  <c r="AJ49" i="13" s="1"/>
  <c r="U5" i="13"/>
  <c r="K5" i="11"/>
  <c r="G5" i="11"/>
  <c r="N5" i="10"/>
  <c r="H5" i="10"/>
  <c r="AJ5" i="13" s="1"/>
  <c r="K35" i="13"/>
  <c r="K35" i="11"/>
  <c r="G35" i="11"/>
  <c r="N35" i="10"/>
  <c r="H35" i="10"/>
  <c r="AJ35" i="13" s="1"/>
  <c r="U37" i="13"/>
  <c r="K37" i="11"/>
  <c r="G37" i="11"/>
  <c r="N37" i="10"/>
  <c r="H37" i="10"/>
  <c r="AJ37" i="13" s="1"/>
  <c r="Z11" i="13"/>
  <c r="K11" i="11"/>
  <c r="N11" i="10"/>
  <c r="AJ11" i="13"/>
  <c r="AG11" i="13"/>
  <c r="U24" i="13"/>
  <c r="N24" i="10"/>
  <c r="H24" i="10"/>
  <c r="AJ24" i="13"/>
  <c r="AH24" i="13"/>
  <c r="Z42" i="13"/>
  <c r="K42" i="11"/>
  <c r="N42" i="10"/>
  <c r="H42" i="10"/>
  <c r="AJ42" i="13" s="1"/>
  <c r="F13" i="9"/>
  <c r="H13" i="9" s="1"/>
  <c r="M13" i="6"/>
  <c r="F11" i="7"/>
  <c r="J11" i="7"/>
  <c r="H11" i="6"/>
  <c r="N11" i="8"/>
  <c r="K11" i="8"/>
  <c r="E29" i="8"/>
  <c r="C29" i="9"/>
  <c r="D29" i="9" s="1"/>
  <c r="M29" i="6"/>
  <c r="H25" i="9"/>
  <c r="N25" i="7"/>
  <c r="H25" i="6"/>
  <c r="N25" i="8" s="1"/>
  <c r="G17" i="8"/>
  <c r="H10" i="8"/>
  <c r="C17" i="9"/>
  <c r="D17" i="9" s="1"/>
  <c r="C22" i="9"/>
  <c r="C19" i="9"/>
  <c r="G34" i="8"/>
  <c r="L10" i="8"/>
  <c r="N34" i="7"/>
  <c r="T50" i="13"/>
  <c r="T52" i="13" s="1"/>
  <c r="H50" i="13"/>
  <c r="H52" i="13" s="1"/>
  <c r="D50" i="13"/>
  <c r="D52" i="13" s="1"/>
  <c r="I50" i="13"/>
  <c r="I52" i="13" s="1"/>
  <c r="AJ15" i="13"/>
  <c r="H22" i="10"/>
  <c r="AJ22" i="13" s="1"/>
  <c r="H45" i="10"/>
  <c r="AJ45" i="13" s="1"/>
  <c r="H38" i="10"/>
  <c r="AJ38" i="13" s="1"/>
  <c r="H43" i="10"/>
  <c r="AJ43" i="13" s="1"/>
  <c r="H44" i="10"/>
  <c r="AJ44" i="13" s="1"/>
  <c r="E50" i="10"/>
  <c r="E52" i="10" s="1"/>
  <c r="Y50" i="13"/>
  <c r="Y52" i="13" s="1"/>
  <c r="Z39" i="13"/>
  <c r="W50" i="13"/>
  <c r="U39" i="13"/>
  <c r="O50" i="13"/>
  <c r="O52" i="13" s="1"/>
  <c r="P39" i="13"/>
  <c r="K39" i="13"/>
  <c r="F39" i="13"/>
  <c r="K39" i="11"/>
  <c r="G39" i="11"/>
  <c r="N39" i="10"/>
  <c r="F50" i="10"/>
  <c r="F52" i="10" s="1"/>
  <c r="C10" i="3" s="1"/>
  <c r="H39" i="10"/>
  <c r="AJ39" i="13"/>
  <c r="Z30" i="13"/>
  <c r="U30" i="13"/>
  <c r="P30" i="13"/>
  <c r="K30" i="13"/>
  <c r="F30" i="13"/>
  <c r="K30" i="11"/>
  <c r="G30" i="11"/>
  <c r="K24" i="11"/>
  <c r="G24" i="11"/>
  <c r="G50" i="11" s="1"/>
  <c r="G52" i="11" s="1"/>
  <c r="N30" i="10"/>
  <c r="H30" i="10"/>
  <c r="AJ30" i="13" s="1"/>
  <c r="M30" i="6"/>
  <c r="F32" i="7"/>
  <c r="E35" i="8"/>
  <c r="N35" i="7"/>
  <c r="G35" i="8"/>
  <c r="M35" i="6"/>
  <c r="H6" i="9"/>
  <c r="E6" i="8"/>
  <c r="F6" i="7"/>
  <c r="J6" i="7"/>
  <c r="H6" i="6"/>
  <c r="N6" i="8"/>
  <c r="E5" i="8"/>
  <c r="N5" i="7"/>
  <c r="H5" i="6"/>
  <c r="N5" i="8"/>
  <c r="E21" i="8"/>
  <c r="F21" i="9"/>
  <c r="H21" i="9" s="1"/>
  <c r="N21" i="7"/>
  <c r="M21" i="6"/>
  <c r="H33" i="9"/>
  <c r="E33" i="8"/>
  <c r="M33" i="6"/>
  <c r="E26" i="8"/>
  <c r="M26" i="6"/>
  <c r="K26" i="8"/>
  <c r="J32" i="7"/>
  <c r="M32" i="6"/>
  <c r="H30" i="9"/>
  <c r="E30" i="8"/>
  <c r="N30" i="7"/>
  <c r="F30" i="7"/>
  <c r="H30" i="6"/>
  <c r="N30" i="8" s="1"/>
  <c r="E8" i="8"/>
  <c r="F8" i="9"/>
  <c r="H8" i="9"/>
  <c r="F8" i="8"/>
  <c r="N8" i="7"/>
  <c r="F8" i="7"/>
  <c r="J8" i="7"/>
  <c r="M8" i="6"/>
  <c r="H34" i="6"/>
  <c r="N34" i="8" s="1"/>
  <c r="E9" i="8"/>
  <c r="C9" i="9"/>
  <c r="D9" i="9" s="1"/>
  <c r="H9" i="6"/>
  <c r="N9" i="8"/>
  <c r="E12" i="8"/>
  <c r="F12" i="9"/>
  <c r="H12" i="9"/>
  <c r="N12" i="7"/>
  <c r="C12" i="9"/>
  <c r="E12" i="9" s="1"/>
  <c r="M12" i="6"/>
  <c r="E37" i="8"/>
  <c r="N29" i="12"/>
  <c r="F37" i="8"/>
  <c r="M37" i="6"/>
  <c r="M34" i="12"/>
  <c r="N34" i="12" s="1"/>
  <c r="H10" i="6"/>
  <c r="N10" i="8" s="1"/>
  <c r="Z51" i="13"/>
  <c r="W52" i="13"/>
  <c r="U51" i="13"/>
  <c r="P51" i="13"/>
  <c r="K51" i="13"/>
  <c r="F51" i="13"/>
  <c r="M14" i="12" s="1"/>
  <c r="N14" i="12" s="1"/>
  <c r="K51" i="11"/>
  <c r="G51" i="11"/>
  <c r="N51" i="10"/>
  <c r="C18" i="5"/>
  <c r="E18" i="5" s="1"/>
  <c r="H51" i="10"/>
  <c r="AJ51" i="13"/>
  <c r="M15" i="12"/>
  <c r="N15" i="12"/>
  <c r="E23" i="8"/>
  <c r="N23" i="7"/>
  <c r="G23" i="8"/>
  <c r="M23" i="6"/>
  <c r="I36" i="6"/>
  <c r="I38" i="6" s="1"/>
  <c r="H23" i="6"/>
  <c r="N23" i="8" s="1"/>
  <c r="K23" i="8"/>
  <c r="M16" i="12"/>
  <c r="N16" i="12"/>
  <c r="N28" i="7"/>
  <c r="H28" i="6"/>
  <c r="N28" i="8" s="1"/>
  <c r="C36" i="8"/>
  <c r="C38" i="8" s="1"/>
  <c r="B11" i="2" s="1"/>
  <c r="L16" i="8"/>
  <c r="F16" i="7"/>
  <c r="J16" i="7" s="1"/>
  <c r="H16" i="6"/>
  <c r="N16" i="8"/>
  <c r="K16" i="8"/>
  <c r="J16" i="8"/>
  <c r="H7" i="9"/>
  <c r="E7" i="8"/>
  <c r="B7" i="9"/>
  <c r="D7" i="9"/>
  <c r="M7" i="6"/>
  <c r="E9" i="9"/>
  <c r="M33" i="12"/>
  <c r="N33" i="12"/>
  <c r="B37" i="9"/>
  <c r="H36" i="7"/>
  <c r="H38" i="7" s="1"/>
  <c r="G31" i="8"/>
  <c r="C10" i="9"/>
  <c r="F15" i="8"/>
  <c r="C7" i="9"/>
  <c r="G18" i="8"/>
  <c r="H20" i="8"/>
  <c r="L27" i="8"/>
  <c r="C14" i="9"/>
  <c r="C11" i="9"/>
  <c r="C13" i="9"/>
  <c r="L32" i="8"/>
  <c r="C26" i="9"/>
  <c r="C5" i="9"/>
  <c r="F6" i="8"/>
  <c r="C37" i="9"/>
  <c r="D37" i="9" s="1"/>
  <c r="G36" i="7"/>
  <c r="G38" i="7"/>
  <c r="M36" i="7"/>
  <c r="M38" i="7" s="1"/>
  <c r="B20" i="2" s="1"/>
  <c r="E8" i="9"/>
  <c r="J30" i="7"/>
  <c r="C36" i="7"/>
  <c r="C38" i="7" s="1"/>
  <c r="B25" i="2" s="1"/>
  <c r="D11" i="9"/>
  <c r="J25" i="7"/>
  <c r="I36" i="8"/>
  <c r="I38" i="8" s="1"/>
  <c r="D6" i="9"/>
  <c r="D32" i="9"/>
  <c r="E35" i="9"/>
  <c r="D31" i="9"/>
  <c r="E21" i="9"/>
  <c r="H7" i="6"/>
  <c r="N7" i="8" s="1"/>
  <c r="H32" i="6"/>
  <c r="N32" i="8" s="1"/>
  <c r="K36" i="6"/>
  <c r="K38" i="6" s="1"/>
  <c r="H13" i="6"/>
  <c r="N13" i="8"/>
  <c r="J29" i="8"/>
  <c r="G36" i="6"/>
  <c r="G38" i="6" s="1"/>
  <c r="J36" i="6"/>
  <c r="J38" i="6" s="1"/>
  <c r="H15" i="6"/>
  <c r="N15" i="8" s="1"/>
  <c r="D36" i="6"/>
  <c r="D38" i="6" s="1"/>
  <c r="H14" i="6"/>
  <c r="N14" i="8" s="1"/>
  <c r="H20" i="6"/>
  <c r="N20" i="8" s="1"/>
  <c r="F36" i="6"/>
  <c r="F38" i="6"/>
  <c r="B10" i="3" s="1"/>
  <c r="D10" i="3" s="1"/>
  <c r="E36" i="6"/>
  <c r="E38" i="6"/>
  <c r="C37" i="3" s="1"/>
  <c r="E37" i="3" s="1"/>
  <c r="H19" i="6"/>
  <c r="H24" i="9"/>
  <c r="M20" i="12"/>
  <c r="N20" i="12" s="1"/>
  <c r="E24" i="8"/>
  <c r="N24" i="7"/>
  <c r="L24" i="8"/>
  <c r="F24" i="7"/>
  <c r="B36" i="7"/>
  <c r="B38" i="7" s="1"/>
  <c r="B24" i="2" s="1"/>
  <c r="G24" i="8"/>
  <c r="M24" i="6"/>
  <c r="H24" i="6"/>
  <c r="C36" i="6"/>
  <c r="C38" i="6" s="1"/>
  <c r="B9" i="3"/>
  <c r="N19" i="8"/>
  <c r="J24" i="7"/>
  <c r="N24" i="8"/>
  <c r="D10" i="9"/>
  <c r="E19" i="9"/>
  <c r="E5" i="9"/>
  <c r="D34" i="9"/>
  <c r="E34" i="9"/>
  <c r="E20" i="9"/>
  <c r="D33" i="9"/>
  <c r="E33" i="9"/>
  <c r="E29" i="9"/>
  <c r="E28" i="9"/>
  <c r="D28" i="9"/>
  <c r="E30" i="9"/>
  <c r="D30" i="9"/>
  <c r="D26" i="9"/>
  <c r="E26" i="9"/>
  <c r="D18" i="9"/>
  <c r="E18" i="9"/>
  <c r="E14" i="9"/>
  <c r="D14" i="9"/>
  <c r="E16" i="9"/>
  <c r="D16" i="9"/>
  <c r="E25" i="9"/>
  <c r="D25" i="9"/>
  <c r="D13" i="9"/>
  <c r="E13" i="9"/>
  <c r="D24" i="9"/>
  <c r="E7" i="9"/>
  <c r="H5" i="9"/>
  <c r="M36" i="8"/>
  <c r="M23" i="12" s="1"/>
  <c r="N23" i="12" s="1"/>
  <c r="M32" i="12"/>
  <c r="N32" i="12"/>
  <c r="M38" i="8"/>
  <c r="B11" i="3" l="1"/>
  <c r="C38" i="3"/>
  <c r="E38" i="3" s="1"/>
  <c r="C29" i="3"/>
  <c r="E29" i="3" s="1"/>
  <c r="B17" i="3"/>
  <c r="D22" i="9"/>
  <c r="E22" i="9"/>
  <c r="C11" i="5"/>
  <c r="E11" i="5" s="1"/>
  <c r="C17" i="3"/>
  <c r="C12" i="5"/>
  <c r="E12" i="5" s="1"/>
  <c r="C18" i="3"/>
  <c r="B7" i="3"/>
  <c r="C35" i="3"/>
  <c r="E35" i="3" s="1"/>
  <c r="B8" i="3"/>
  <c r="C39" i="3"/>
  <c r="E39" i="3" s="1"/>
  <c r="B16" i="3"/>
  <c r="C28" i="3"/>
  <c r="E28" i="3" s="1"/>
  <c r="C27" i="3"/>
  <c r="B15" i="3"/>
  <c r="C19" i="5"/>
  <c r="E19" i="5" s="1"/>
  <c r="C9" i="3"/>
  <c r="D9" i="3" s="1"/>
  <c r="D15" i="9"/>
  <c r="E15" i="9"/>
  <c r="B36" i="9"/>
  <c r="J10" i="7"/>
  <c r="AH50" i="13"/>
  <c r="AH52" i="13" s="1"/>
  <c r="N50" i="10"/>
  <c r="N52" i="10" s="1"/>
  <c r="E37" i="9"/>
  <c r="E17" i="9"/>
  <c r="J22" i="7"/>
  <c r="C29" i="2"/>
  <c r="AH48" i="13"/>
  <c r="H48" i="10"/>
  <c r="AJ48" i="13" s="1"/>
  <c r="L50" i="10"/>
  <c r="L52" i="10" s="1"/>
  <c r="I50" i="11"/>
  <c r="I52" i="11" s="1"/>
  <c r="D32" i="5" s="1"/>
  <c r="N50" i="13"/>
  <c r="N52" i="13" s="1"/>
  <c r="D5" i="9"/>
  <c r="C36" i="3"/>
  <c r="E36" i="3" s="1"/>
  <c r="L36" i="7"/>
  <c r="L38" i="7" s="1"/>
  <c r="D23" i="9"/>
  <c r="G15" i="8"/>
  <c r="D36" i="7"/>
  <c r="D38" i="7" s="1"/>
  <c r="B26" i="2" s="1"/>
  <c r="N31" i="7"/>
  <c r="N20" i="7"/>
  <c r="C50" i="10"/>
  <c r="C52" i="10" s="1"/>
  <c r="B50" i="13"/>
  <c r="B52" i="13" s="1"/>
  <c r="C50" i="13"/>
  <c r="C52" i="13" s="1"/>
  <c r="L50" i="13"/>
  <c r="L52" i="13" s="1"/>
  <c r="V50" i="13"/>
  <c r="V52" i="13" s="1"/>
  <c r="H23" i="10"/>
  <c r="AJ23" i="13" s="1"/>
  <c r="H17" i="6"/>
  <c r="N17" i="8" s="1"/>
  <c r="N17" i="7"/>
  <c r="N36" i="7" s="1"/>
  <c r="N38" i="7" s="1"/>
  <c r="N22" i="7"/>
  <c r="F22" i="8"/>
  <c r="F36" i="8" s="1"/>
  <c r="F38" i="8" s="1"/>
  <c r="B16" i="2" s="1"/>
  <c r="J17" i="8"/>
  <c r="F36" i="9"/>
  <c r="AG16" i="13"/>
  <c r="H16" i="10"/>
  <c r="AJ16" i="13" s="1"/>
  <c r="J27" i="7"/>
  <c r="C27" i="9"/>
  <c r="C36" i="9" s="1"/>
  <c r="C38" i="9" s="1"/>
  <c r="B8" i="2" s="1"/>
  <c r="N27" i="7"/>
  <c r="H18" i="6"/>
  <c r="N18" i="8" s="1"/>
  <c r="N36" i="8" s="1"/>
  <c r="J18" i="8"/>
  <c r="U9" i="13"/>
  <c r="Q50" i="13"/>
  <c r="Q52" i="13" s="1"/>
  <c r="AH25" i="13"/>
  <c r="H25" i="10"/>
  <c r="AJ25" i="13" s="1"/>
  <c r="H13" i="10"/>
  <c r="AG13" i="13"/>
  <c r="AG50" i="13" s="1"/>
  <c r="AG52" i="13" s="1"/>
  <c r="B50" i="10"/>
  <c r="AG33" i="13"/>
  <c r="H33" i="10"/>
  <c r="AJ33" i="13" s="1"/>
  <c r="AB50" i="13"/>
  <c r="AB52" i="13" s="1"/>
  <c r="H17" i="10"/>
  <c r="AJ17" i="13" s="1"/>
  <c r="AG17" i="13"/>
  <c r="Z24" i="13"/>
  <c r="I50" i="10"/>
  <c r="I52" i="10" s="1"/>
  <c r="C50" i="11"/>
  <c r="C52" i="11" s="1"/>
  <c r="D37" i="5" s="1"/>
  <c r="E50" i="11"/>
  <c r="E52" i="11" s="1"/>
  <c r="D39" i="5" s="1"/>
  <c r="H50" i="11"/>
  <c r="H52" i="11" s="1"/>
  <c r="D31" i="5" s="1"/>
  <c r="J50" i="13"/>
  <c r="J52" i="13" s="1"/>
  <c r="AD50" i="13"/>
  <c r="AD52" i="13" s="1"/>
  <c r="X50" i="13"/>
  <c r="X52" i="13" s="1"/>
  <c r="AH41" i="13"/>
  <c r="H41" i="10"/>
  <c r="AJ41" i="13" s="1"/>
  <c r="AH19" i="13"/>
  <c r="H19" i="10"/>
  <c r="AJ19" i="13" s="1"/>
  <c r="P19" i="13"/>
  <c r="P50" i="13" s="1"/>
  <c r="M50" i="13"/>
  <c r="M52" i="13" s="1"/>
  <c r="E11" i="9"/>
  <c r="L29" i="8"/>
  <c r="L36" i="8" s="1"/>
  <c r="L38" i="8" s="1"/>
  <c r="N29" i="7"/>
  <c r="J9" i="7"/>
  <c r="G9" i="8"/>
  <c r="E36" i="7"/>
  <c r="E38" i="7" s="1"/>
  <c r="B27" i="2" s="1"/>
  <c r="B28" i="2" s="1"/>
  <c r="J37" i="8"/>
  <c r="H37" i="6"/>
  <c r="D36" i="8"/>
  <c r="K50" i="11"/>
  <c r="K52" i="11" s="1"/>
  <c r="F36" i="13"/>
  <c r="U36" i="13"/>
  <c r="P22" i="13"/>
  <c r="U22" i="13"/>
  <c r="U45" i="13"/>
  <c r="K48" i="13"/>
  <c r="U7" i="13"/>
  <c r="F40" i="13"/>
  <c r="K40" i="13"/>
  <c r="U40" i="13"/>
  <c r="F18" i="7"/>
  <c r="F36" i="7" s="1"/>
  <c r="F38" i="7" s="1"/>
  <c r="H36" i="8"/>
  <c r="H38" i="8" s="1"/>
  <c r="K47" i="13"/>
  <c r="F13" i="13"/>
  <c r="K13" i="13"/>
  <c r="K50" i="13" s="1"/>
  <c r="U13" i="13"/>
  <c r="U10" i="13"/>
  <c r="Z10" i="13"/>
  <c r="Z50" i="13" s="1"/>
  <c r="G50" i="10"/>
  <c r="G52" i="10" s="1"/>
  <c r="Z23" i="13"/>
  <c r="U42" i="13"/>
  <c r="F50" i="11"/>
  <c r="F52" i="11" s="1"/>
  <c r="D40" i="5" s="1"/>
  <c r="H28" i="10"/>
  <c r="AJ28" i="13" s="1"/>
  <c r="D50" i="10"/>
  <c r="D52" i="10" s="1"/>
  <c r="B50" i="11"/>
  <c r="B52" i="11" s="1"/>
  <c r="D36" i="5" s="1"/>
  <c r="D41" i="5" s="1"/>
  <c r="J50" i="11"/>
  <c r="J52" i="11" s="1"/>
  <c r="D33" i="5" s="1"/>
  <c r="K19" i="13"/>
  <c r="M25" i="6"/>
  <c r="J13" i="7"/>
  <c r="N13" i="7"/>
  <c r="J33" i="7"/>
  <c r="G36" i="9"/>
  <c r="G38" i="9" s="1"/>
  <c r="L36" i="6"/>
  <c r="L38" i="6" s="1"/>
  <c r="D12" i="9"/>
  <c r="J28" i="7"/>
  <c r="J7" i="7"/>
  <c r="G7" i="8"/>
  <c r="G36" i="8" s="1"/>
  <c r="G38" i="8" s="1"/>
  <c r="F33" i="7"/>
  <c r="B36" i="6"/>
  <c r="J5" i="8"/>
  <c r="J36" i="8" s="1"/>
  <c r="J38" i="8" s="1"/>
  <c r="M5" i="6"/>
  <c r="M36" i="6" s="1"/>
  <c r="M38" i="6" s="1"/>
  <c r="J5" i="7"/>
  <c r="K36" i="7"/>
  <c r="K38" i="7" s="1"/>
  <c r="B36" i="8"/>
  <c r="J35" i="7"/>
  <c r="J12" i="7"/>
  <c r="K52" i="13" l="1"/>
  <c r="M6" i="12"/>
  <c r="N6" i="12" s="1"/>
  <c r="M7" i="12"/>
  <c r="N7" i="12" s="1"/>
  <c r="P52" i="13"/>
  <c r="Z52" i="13"/>
  <c r="M9" i="12"/>
  <c r="N9" i="12" s="1"/>
  <c r="B38" i="6"/>
  <c r="M24" i="12"/>
  <c r="N24" i="12" s="1"/>
  <c r="C30" i="3"/>
  <c r="E30" i="3" s="1"/>
  <c r="B18" i="3"/>
  <c r="D18" i="3" s="1"/>
  <c r="C20" i="5"/>
  <c r="E20" i="5" s="1"/>
  <c r="C11" i="3"/>
  <c r="D11" i="3" s="1"/>
  <c r="M35" i="12"/>
  <c r="N35" i="12" s="1"/>
  <c r="N37" i="8"/>
  <c r="N38" i="8" s="1"/>
  <c r="C8" i="5"/>
  <c r="C15" i="3"/>
  <c r="J18" i="7"/>
  <c r="F38" i="9"/>
  <c r="H38" i="9" s="1"/>
  <c r="H36" i="9"/>
  <c r="C7" i="3"/>
  <c r="C17" i="5"/>
  <c r="E17" i="5" s="1"/>
  <c r="D27" i="9"/>
  <c r="D36" i="9" s="1"/>
  <c r="D38" i="9" s="1"/>
  <c r="B38" i="9"/>
  <c r="E38" i="9" s="1"/>
  <c r="E36" i="9"/>
  <c r="C31" i="3"/>
  <c r="E31" i="3" s="1"/>
  <c r="E27" i="3"/>
  <c r="D7" i="3"/>
  <c r="B38" i="8"/>
  <c r="B10" i="2" s="1"/>
  <c r="M19" i="12"/>
  <c r="J36" i="7"/>
  <c r="J38" i="7" s="1"/>
  <c r="C8" i="3"/>
  <c r="C21" i="5"/>
  <c r="E21" i="5" s="1"/>
  <c r="F50" i="13"/>
  <c r="U50" i="13"/>
  <c r="M21" i="12"/>
  <c r="N21" i="12" s="1"/>
  <c r="D38" i="8"/>
  <c r="B12" i="2" s="1"/>
  <c r="D34" i="5"/>
  <c r="B52" i="10"/>
  <c r="M10" i="12"/>
  <c r="N10" i="12" s="1"/>
  <c r="AJ13" i="13"/>
  <c r="H50" i="10"/>
  <c r="H36" i="6"/>
  <c r="C10" i="5"/>
  <c r="E10" i="5" s="1"/>
  <c r="C16" i="3"/>
  <c r="E27" i="9"/>
  <c r="B19" i="3"/>
  <c r="D16" i="3"/>
  <c r="D8" i="3"/>
  <c r="D17" i="3"/>
  <c r="M25" i="12" l="1"/>
  <c r="N25" i="12" s="1"/>
  <c r="H38" i="6"/>
  <c r="C16" i="5"/>
  <c r="C6" i="3"/>
  <c r="C12" i="3" s="1"/>
  <c r="M8" i="12"/>
  <c r="N8" i="12" s="1"/>
  <c r="U52" i="13"/>
  <c r="B14" i="2"/>
  <c r="B18" i="2" s="1"/>
  <c r="B22" i="2" s="1"/>
  <c r="B29" i="2" s="1"/>
  <c r="C19" i="3"/>
  <c r="D15" i="3"/>
  <c r="D19" i="3" s="1"/>
  <c r="H52" i="10"/>
  <c r="AJ52" i="13" s="1"/>
  <c r="M11" i="12"/>
  <c r="N11" i="12" s="1"/>
  <c r="AJ50" i="13"/>
  <c r="F52" i="13"/>
  <c r="M5" i="12"/>
  <c r="N5" i="12" s="1"/>
  <c r="M22" i="12"/>
  <c r="N22" i="12" s="1"/>
  <c r="N19" i="12"/>
  <c r="E8" i="5"/>
  <c r="C13" i="5"/>
  <c r="E13" i="5" s="1"/>
  <c r="C34" i="3"/>
  <c r="B6" i="3"/>
  <c r="B12" i="3" l="1"/>
  <c r="D6" i="3"/>
  <c r="D12" i="3" s="1"/>
  <c r="C40" i="3"/>
  <c r="E40" i="3" s="1"/>
  <c r="E34" i="3"/>
  <c r="C22" i="5"/>
  <c r="E22" i="5" s="1"/>
  <c r="E16" i="5"/>
</calcChain>
</file>

<file path=xl/sharedStrings.xml><?xml version="1.0" encoding="utf-8"?>
<sst xmlns="http://schemas.openxmlformats.org/spreadsheetml/2006/main" count="563" uniqueCount="234">
  <si>
    <t>Amount in Million BDT</t>
  </si>
  <si>
    <t>Particulars</t>
  </si>
  <si>
    <t>Comparartive Analysis</t>
  </si>
  <si>
    <t>Premium Less Reinsurance</t>
  </si>
  <si>
    <t>First Year Premium</t>
  </si>
  <si>
    <t>Renewal Premium</t>
  </si>
  <si>
    <t>Group Insurance Premium</t>
  </si>
  <si>
    <t>Gross Premium</t>
  </si>
  <si>
    <t>Less: Reinsurance</t>
  </si>
  <si>
    <t>Net Premium</t>
  </si>
  <si>
    <t>Total Revenue</t>
  </si>
  <si>
    <t>Claim Under Policies</t>
  </si>
  <si>
    <t>Allowance of Commission</t>
  </si>
  <si>
    <t>Agenecy of Commission</t>
  </si>
  <si>
    <t>Other Expenses</t>
  </si>
  <si>
    <t>Total Expenses</t>
  </si>
  <si>
    <t>Balance of Life fund at The end of the year</t>
  </si>
  <si>
    <t>Life</t>
  </si>
  <si>
    <t>Non-Life</t>
  </si>
  <si>
    <t>Total</t>
  </si>
  <si>
    <t>Comparative</t>
  </si>
  <si>
    <t>Assets</t>
  </si>
  <si>
    <t>Consolideted Balance Sheet of all Insurance Companies including JBC and SBC</t>
  </si>
  <si>
    <t>As on 31st December, 2017</t>
  </si>
  <si>
    <t>Investment</t>
  </si>
  <si>
    <t>Fixed Deposit</t>
  </si>
  <si>
    <t>Cash and Bank Balances</t>
  </si>
  <si>
    <t>Debtors</t>
  </si>
  <si>
    <t>Other Assets</t>
  </si>
  <si>
    <t>Fixed  Assets</t>
  </si>
  <si>
    <t>Liabilities</t>
  </si>
  <si>
    <t>Share Capital</t>
  </si>
  <si>
    <t>Balance of Fund</t>
  </si>
  <si>
    <t>Reserve</t>
  </si>
  <si>
    <t>Creditors</t>
  </si>
  <si>
    <t>Consolidated Statement Financial Position of</t>
  </si>
  <si>
    <t>Life Insurance Companies including JBC</t>
  </si>
  <si>
    <t>as on 31st December 2017</t>
  </si>
  <si>
    <t>Balance of Fund and Accounts</t>
  </si>
  <si>
    <t>Liabilities, creditors and other Provisions</t>
  </si>
  <si>
    <t>Total Capital and Liablilities</t>
  </si>
  <si>
    <t>Issued, Subscribed and Paidup Capital</t>
  </si>
  <si>
    <t>Property and Assets</t>
  </si>
  <si>
    <t>Other assets</t>
  </si>
  <si>
    <t>Fixed Assets</t>
  </si>
  <si>
    <t>Cash, Bank and Other Balances</t>
  </si>
  <si>
    <t>Total Property and Assets</t>
  </si>
  <si>
    <t>Consolidated Life Revenue Account of</t>
  </si>
  <si>
    <t>Life Insurance Companies (Including JBC)</t>
  </si>
  <si>
    <t>For the Year Ended 31st December 2017</t>
  </si>
  <si>
    <t>Balance of fund at the beginning of the year as shown in the Balance sheet</t>
  </si>
  <si>
    <t>Non-Life Insurance Companies including SBC</t>
  </si>
  <si>
    <t>As on 31st December 2017</t>
  </si>
  <si>
    <t>Growth</t>
  </si>
  <si>
    <t>Non-Life Insurance Companies (Including SBC)</t>
  </si>
  <si>
    <t>Re Insurance Commission Ceded and other Income</t>
  </si>
  <si>
    <t>Claim Under Policies less reinsurance</t>
  </si>
  <si>
    <t>Management Expese</t>
  </si>
  <si>
    <t>Agency Commission</t>
  </si>
  <si>
    <t>Unexpired Risk or Reserve</t>
  </si>
  <si>
    <t>Profit/Loss</t>
  </si>
  <si>
    <t>Name of The Company</t>
  </si>
  <si>
    <t xml:space="preserve">MetLife </t>
  </si>
  <si>
    <t xml:space="preserve">Best Life Insurance Co. Ltd. </t>
  </si>
  <si>
    <t>Fareast Islami life Ins. Co. Ltd.</t>
  </si>
  <si>
    <t xml:space="preserve">Golden Life Insurance Ltd. </t>
  </si>
  <si>
    <t xml:space="preserve">Guardian Life Insurance Ltd. </t>
  </si>
  <si>
    <t>Jamuna Life Insurance Co. Ltd.</t>
  </si>
  <si>
    <t xml:space="preserve">Life Insurance Corporation </t>
  </si>
  <si>
    <t>Meghna Life Insurance Co. Ltd.</t>
  </si>
  <si>
    <t>National Life Insurance Co. Ltd.</t>
  </si>
  <si>
    <t>NRB Global Life Ins. Co. Ltd.</t>
  </si>
  <si>
    <t xml:space="preserve">Prime Islami Life Insurance Ltd. </t>
  </si>
  <si>
    <t>Sandhani Life Ins. Co. Ltd.</t>
  </si>
  <si>
    <t>Sunflower Life Ins. Co. Ltd.</t>
  </si>
  <si>
    <t>Swadesh Life Insurance Co. Ltd.</t>
  </si>
  <si>
    <t>Homeland Life Ins. Co. Ltd.</t>
  </si>
  <si>
    <t>Protective Islami Life Ins. Ltd.</t>
  </si>
  <si>
    <t>Rupalli Life Insurance Co. Ltd.</t>
  </si>
  <si>
    <t xml:space="preserve">Alpha Islami Life Insurance Ltd.  </t>
  </si>
  <si>
    <t>BAIRA Life Insurance Co. Ltd.</t>
  </si>
  <si>
    <t xml:space="preserve">Chartered Life Insurance Co. Ltd </t>
  </si>
  <si>
    <t>Delta Life Insurance Co. Ltd.</t>
  </si>
  <si>
    <r>
      <t>Diamond Life Insurance Co. Ltd.</t>
    </r>
    <r>
      <rPr>
        <vertAlign val="subscript"/>
        <sz val="11"/>
        <rFont val="Times New Roman"/>
        <family val="1"/>
      </rPr>
      <t>1</t>
    </r>
    <r>
      <rPr>
        <u/>
        <sz val="6.5"/>
        <rFont val="Tahoma"/>
        <family val="2"/>
      </rPr>
      <t/>
    </r>
  </si>
  <si>
    <t xml:space="preserve">Mercantile Islami Life Ins. Ltd. </t>
  </si>
  <si>
    <t>Popular Life Insurance Co. Ltd.</t>
  </si>
  <si>
    <t xml:space="preserve">Padma Islami Life Insurnce Ltd.  </t>
  </si>
  <si>
    <t xml:space="preserve">Pragati Life Insurance Ltd. </t>
  </si>
  <si>
    <t xml:space="preserve">Sun Life Insurance Co. Ltd.  </t>
  </si>
  <si>
    <t>Sonali Life Insurance Co. Ltd.</t>
  </si>
  <si>
    <t xml:space="preserve">Trust Islarni Life Insurance Ltd.  </t>
  </si>
  <si>
    <t xml:space="preserve">Zenith Islami Life Insurance Ltd. </t>
  </si>
  <si>
    <t>Sub Total</t>
  </si>
  <si>
    <t xml:space="preserve">Jibon Bima Corporation </t>
  </si>
  <si>
    <t>Grand Total</t>
  </si>
  <si>
    <t>Cash &amp; Bank Balance (Excluding FDR)</t>
  </si>
  <si>
    <t>Total Assets</t>
  </si>
  <si>
    <t>Liability</t>
  </si>
  <si>
    <t>Balance of Fund Account</t>
  </si>
  <si>
    <t>Total Liability</t>
  </si>
  <si>
    <t>Expense</t>
  </si>
  <si>
    <t>Income</t>
  </si>
  <si>
    <t xml:space="preserve">Total </t>
  </si>
  <si>
    <t>Net Claim</t>
  </si>
  <si>
    <t>Allowance &amp; Commission</t>
  </si>
  <si>
    <t>Others Exp</t>
  </si>
  <si>
    <t>Total Mgt. Exp</t>
  </si>
  <si>
    <t>Dividend</t>
  </si>
  <si>
    <t>Life fund as of current year</t>
  </si>
  <si>
    <t>Income Tax</t>
  </si>
  <si>
    <t>Last year Balance</t>
  </si>
  <si>
    <t>Premium Income</t>
  </si>
  <si>
    <t>1st Year</t>
  </si>
  <si>
    <t>Renewal</t>
  </si>
  <si>
    <t>Group Term &amp; Others</t>
  </si>
  <si>
    <t>Life Fund</t>
  </si>
  <si>
    <t>Growth of Life Fund</t>
  </si>
  <si>
    <t>Life Fund Current Year (2017)</t>
  </si>
  <si>
    <t>Life Fund Last Year (2016)</t>
  </si>
  <si>
    <t>Increase/Decrease Life Fund</t>
  </si>
  <si>
    <t>Growth of 1st year premium</t>
  </si>
  <si>
    <t>1st Year Premium 2017</t>
  </si>
  <si>
    <t>1st Year Premium 2016</t>
  </si>
  <si>
    <t>Growth (%)</t>
  </si>
  <si>
    <t>Agrani Insurance Co. Ltd.</t>
  </si>
  <si>
    <t>Asia Insurance Limited</t>
  </si>
  <si>
    <t>Asia Pacific Gen. ins. Co. Ltd</t>
  </si>
  <si>
    <t>Bangladesh Gen. Ins.Co.Ltd</t>
  </si>
  <si>
    <t>Bangladesh Co-operative Ins. Ltd</t>
  </si>
  <si>
    <t>Bangladesh National Ins.Co.Ltd</t>
  </si>
  <si>
    <t>Central Insurance Co. Ltd</t>
  </si>
  <si>
    <t>City Gen. Insurance Co.Ltd</t>
  </si>
  <si>
    <t>Continental Insurance Limited</t>
  </si>
  <si>
    <t>Crystal Insurance Company Ltd</t>
  </si>
  <si>
    <t>Dhaka Insurance Ltd</t>
  </si>
  <si>
    <t>Desh Gen. Ins. Co.Ltd</t>
  </si>
  <si>
    <t>Eastern Insurance Co.Ltd</t>
  </si>
  <si>
    <t>Eastland Insurance Co.Ltd</t>
  </si>
  <si>
    <t>Express Insurance Limited</t>
  </si>
  <si>
    <t>Federal insurance Co. Ltd</t>
  </si>
  <si>
    <t>Green Delta Ins. Co. Ltd</t>
  </si>
  <si>
    <t>Global Insurance Ltd</t>
  </si>
  <si>
    <t>Islami Insurance Bangladesh Ltd</t>
  </si>
  <si>
    <t>Islami Commercial Ins.Co.Ltd</t>
  </si>
  <si>
    <t>Janata Insurance Co. Ltd</t>
  </si>
  <si>
    <t>Karnafuli Insurance Co.Ltd</t>
  </si>
  <si>
    <t>Meghna Insurance Co. Ltd</t>
  </si>
  <si>
    <t>Mercantile Insurance Co. Ltd</t>
  </si>
  <si>
    <t>Northern Gen.Ins. Co.Ltd</t>
  </si>
  <si>
    <t>Nitol Insurance Co.Ltd</t>
  </si>
  <si>
    <t>Peoples Insurance Co. Ltd</t>
  </si>
  <si>
    <t>Pragati Insurance Limited</t>
  </si>
  <si>
    <t>PhoenixInsurance Co.Ltd</t>
  </si>
  <si>
    <t>Purabi Gen. Insurance Co. Ltd</t>
  </si>
  <si>
    <t>Provati Insurance Co.Ltd</t>
  </si>
  <si>
    <t>Prime Insurance Co.Ltd</t>
  </si>
  <si>
    <t>Pioneer Insurance Co.Ltd</t>
  </si>
  <si>
    <t>Paramount Insurance Co.Ltd</t>
  </si>
  <si>
    <t>Reliance Insurance Limited</t>
  </si>
  <si>
    <t>Rupali Insurance Co. Ltd</t>
  </si>
  <si>
    <t>Standard Insurance Limited</t>
  </si>
  <si>
    <t>South Asia Ins. Co. Ltd</t>
  </si>
  <si>
    <t>Sonar Bangla Insurance Ltd</t>
  </si>
  <si>
    <t>Sikder Insurance Co. Ltd</t>
  </si>
  <si>
    <t>Sena Kalyan Insurance Co. Ltd</t>
  </si>
  <si>
    <t>Takaful Islami Insurance Ltd</t>
  </si>
  <si>
    <t>United Insurance Co.Ltd</t>
  </si>
  <si>
    <t>Union Insurance Co. Ltd</t>
  </si>
  <si>
    <t>Sadharan Bima Corporation</t>
  </si>
  <si>
    <t>Growth of Life Fund and Premium Income of Life Insurance Companies (2016-2017)</t>
  </si>
  <si>
    <t>Balance Sheet of Non-Life Insurance Companies (2017)</t>
  </si>
  <si>
    <t>Share Premium</t>
  </si>
  <si>
    <t>Claim Under Policies Less Re-Insurance</t>
  </si>
  <si>
    <t>Mgt. Exp. Including stamp duty &amp; other Exp</t>
  </si>
  <si>
    <t>Unexpired risk Reservs</t>
  </si>
  <si>
    <r>
      <t>Republic Insurance Co.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Ltd</t>
    </r>
  </si>
  <si>
    <t>Opening Balance</t>
  </si>
  <si>
    <t>Re-Insurance Commission Other Income</t>
  </si>
  <si>
    <t>Progress of all Insurance Companies at a Glance During Last 12 Years</t>
  </si>
  <si>
    <t>Item</t>
  </si>
  <si>
    <t>Gross Premium (Private)</t>
  </si>
  <si>
    <t>Private Sector Non-Life Insurance Companies</t>
  </si>
  <si>
    <t>Year 2006</t>
  </si>
  <si>
    <t>Year 2007</t>
  </si>
  <si>
    <t>Year 2008</t>
  </si>
  <si>
    <t>Year 2009</t>
  </si>
  <si>
    <t>Year 2010</t>
  </si>
  <si>
    <t>Year 2011</t>
  </si>
  <si>
    <t>Year 2012</t>
  </si>
  <si>
    <t>Year 2013</t>
  </si>
  <si>
    <t>Year 2014</t>
  </si>
  <si>
    <t>Year 2015</t>
  </si>
  <si>
    <t>Year 2016</t>
  </si>
  <si>
    <t>Year 2017</t>
  </si>
  <si>
    <t>CAGR</t>
  </si>
  <si>
    <t>Gross Claim</t>
  </si>
  <si>
    <t>Underwriting Profit</t>
  </si>
  <si>
    <t>Investment (Including FDR)</t>
  </si>
  <si>
    <t>Public Sector Sadharan Bima Corporation</t>
  </si>
  <si>
    <t>Gross Premium (Public)</t>
  </si>
  <si>
    <t>Private Sector Life Insurance Companies</t>
  </si>
  <si>
    <t>1st Year Premium</t>
  </si>
  <si>
    <t>Group terms &amp; Others</t>
  </si>
  <si>
    <t>Total Premium (Private)</t>
  </si>
  <si>
    <t>Public Sector Jibon Bima Corporation</t>
  </si>
  <si>
    <t>Total Premium (Public)</t>
  </si>
  <si>
    <t>Achievement of Non-Life Insurance Companies (2017)</t>
  </si>
  <si>
    <t>Fire</t>
  </si>
  <si>
    <t>Marine</t>
  </si>
  <si>
    <t>Motor</t>
  </si>
  <si>
    <t>Misc/Acct</t>
  </si>
  <si>
    <t>Income Tax Provision</t>
  </si>
  <si>
    <t>Devidend (Cash)</t>
  </si>
  <si>
    <t>Reserve for the Year</t>
  </si>
  <si>
    <t>Last Year Balance</t>
  </si>
  <si>
    <t>Fixed Deposit with Bank</t>
  </si>
  <si>
    <t>Investment/ Other Income</t>
  </si>
  <si>
    <t>71,651,40</t>
  </si>
  <si>
    <t>Creditors &amp; Others</t>
  </si>
  <si>
    <t>Republic Insurance Co. Ltd</t>
  </si>
  <si>
    <t>Investment (Includinh FDR)</t>
  </si>
  <si>
    <t>Underwriting Profit/loss</t>
  </si>
  <si>
    <t xml:space="preserve">Net Profit </t>
  </si>
  <si>
    <t xml:space="preserve">Balance of P&amp;L Appropriation </t>
  </si>
  <si>
    <t>Interest &amp; Other Income</t>
  </si>
  <si>
    <t>Interest &amp; other Income</t>
  </si>
  <si>
    <t>Achievement of Life Insurance Companies (2017)</t>
  </si>
  <si>
    <t>Revenue Account of Non-Life Insurance Companies (2017)</t>
  </si>
  <si>
    <t>Revenue Account of Life Insurance Companies (2017)</t>
  </si>
  <si>
    <t>Balance Sheet of Life Insurance Companies (2017)</t>
  </si>
  <si>
    <t>Progressive Life Ins. Co.Ltd.</t>
  </si>
  <si>
    <t xml:space="preserve">Progressive Life Ins. Co.Ltd. </t>
  </si>
  <si>
    <r>
      <t>Add: Other Income</t>
    </r>
    <r>
      <rPr>
        <sz val="10"/>
        <color indexed="53"/>
        <rFont val="Tahoma"/>
        <family val="2"/>
      </rPr>
      <t xml:space="preserve"> (with Investment Income)</t>
    </r>
  </si>
  <si>
    <r>
      <t>Diamond Life Insurance Co. Ltd.</t>
    </r>
    <r>
      <rPr>
        <vertAlign val="subscript"/>
        <sz val="8"/>
        <rFont val="Tahoma"/>
        <family val="2"/>
      </rPr>
      <t>1</t>
    </r>
    <r>
      <rPr>
        <u/>
        <sz val="6.5"/>
        <rFont val="Tahom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</si>
</sst>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6" formatCode="0,000.00"/>
    <numFmt numFmtId="170" formatCode="_(* #,##0.0000_);_(* \(#,##0.0000\);_(* &quot;-&quot;??_);_(@_)"/>
    <numFmt numFmtId="173" formatCode="_(* #,##0.000000_);_(* \(#,##0.000000\);_(* &quot;-&quot;??_);_(@_)"/>
  </numFmts>
  <fonts count="2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6.5"/>
      <name val="Tahoma"/>
      <family val="2"/>
    </font>
    <font>
      <vertAlign val="subscript"/>
      <sz val="11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53"/>
      <name val="Tahoma"/>
      <family val="2"/>
    </font>
    <font>
      <b/>
      <sz val="14"/>
      <name val="Tahoma"/>
      <family val="2"/>
    </font>
    <font>
      <b/>
      <sz val="8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</cellStyleXfs>
  <cellXfs count="147">
    <xf numFmtId="0" fontId="0" fillId="0" borderId="0" xfId="0"/>
    <xf numFmtId="0" fontId="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9" fontId="5" fillId="0" borderId="0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43" fontId="3" fillId="0" borderId="2" xfId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9" fontId="8" fillId="0" borderId="2" xfId="2" applyFont="1" applyBorder="1" applyAlignment="1">
      <alignment vertical="center"/>
    </xf>
    <xf numFmtId="0" fontId="15" fillId="0" borderId="0" xfId="0" applyFont="1" applyAlignment="1">
      <alignment vertical="center"/>
    </xf>
    <xf numFmtId="43" fontId="8" fillId="0" borderId="2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170" fontId="3" fillId="0" borderId="2" xfId="1" applyNumberFormat="1" applyFont="1" applyBorder="1" applyAlignment="1">
      <alignment vertical="center"/>
    </xf>
    <xf numFmtId="43" fontId="26" fillId="0" borderId="2" xfId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2" xfId="1" applyNumberFormat="1" applyFont="1" applyBorder="1" applyAlignment="1">
      <alignment vertical="center"/>
    </xf>
    <xf numFmtId="43" fontId="8" fillId="0" borderId="2" xfId="1" applyFont="1" applyFill="1" applyBorder="1" applyAlignment="1">
      <alignment vertical="center" wrapText="1"/>
    </xf>
    <xf numFmtId="0" fontId="11" fillId="0" borderId="0" xfId="0" applyFont="1"/>
    <xf numFmtId="43" fontId="3" fillId="0" borderId="0" xfId="1" applyFont="1" applyAlignment="1">
      <alignment horizontal="centerContinuous" vertical="center"/>
    </xf>
    <xf numFmtId="43" fontId="3" fillId="0" borderId="0" xfId="1" applyFont="1" applyAlignment="1">
      <alignment vertical="center"/>
    </xf>
    <xf numFmtId="43" fontId="4" fillId="0" borderId="2" xfId="1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/>
    </xf>
    <xf numFmtId="0" fontId="2" fillId="0" borderId="0" xfId="0" applyFont="1"/>
    <xf numFmtId="0" fontId="8" fillId="2" borderId="1" xfId="0" applyFont="1" applyFill="1" applyBorder="1" applyAlignment="1">
      <alignment vertical="center" wrapText="1"/>
    </xf>
    <xf numFmtId="43" fontId="3" fillId="2" borderId="2" xfId="1" applyFont="1" applyFill="1" applyBorder="1" applyAlignment="1">
      <alignment vertical="center"/>
    </xf>
    <xf numFmtId="0" fontId="2" fillId="2" borderId="0" xfId="0" applyFont="1" applyFill="1"/>
    <xf numFmtId="173" fontId="3" fillId="0" borderId="0" xfId="0" applyNumberFormat="1" applyFont="1" applyAlignment="1">
      <alignment vertical="center"/>
    </xf>
    <xf numFmtId="0" fontId="8" fillId="0" borderId="4" xfId="0" applyFont="1" applyFill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43" fontId="16" fillId="0" borderId="2" xfId="1" applyFont="1" applyBorder="1" applyAlignment="1">
      <alignment vertical="center"/>
    </xf>
    <xf numFmtId="43" fontId="17" fillId="0" borderId="2" xfId="1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43" fontId="17" fillId="0" borderId="2" xfId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166" fontId="16" fillId="0" borderId="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43" fontId="16" fillId="0" borderId="2" xfId="1" applyFont="1" applyFill="1" applyBorder="1" applyAlignment="1">
      <alignment vertical="center"/>
    </xf>
    <xf numFmtId="43" fontId="16" fillId="0" borderId="2" xfId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43" fontId="17" fillId="0" borderId="3" xfId="1" applyFont="1" applyFill="1" applyBorder="1" applyAlignment="1">
      <alignment vertical="center"/>
    </xf>
    <xf numFmtId="43" fontId="17" fillId="0" borderId="2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43" fontId="16" fillId="0" borderId="3" xfId="1" applyFont="1" applyFill="1" applyBorder="1" applyAlignment="1">
      <alignment vertical="center"/>
    </xf>
    <xf numFmtId="43" fontId="16" fillId="0" borderId="2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3" fontId="17" fillId="0" borderId="1" xfId="1" applyFont="1" applyFill="1" applyBorder="1" applyAlignment="1">
      <alignment vertical="center"/>
    </xf>
    <xf numFmtId="43" fontId="17" fillId="0" borderId="2" xfId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Continuous" vertical="center"/>
    </xf>
    <xf numFmtId="0" fontId="16" fillId="0" borderId="0" xfId="3" applyFont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43" fontId="24" fillId="0" borderId="2" xfId="1" applyFont="1" applyBorder="1" applyAlignment="1">
      <alignment vertical="center"/>
    </xf>
    <xf numFmtId="43" fontId="28" fillId="0" borderId="2" xfId="1" applyFont="1" applyBorder="1" applyAlignment="1">
      <alignment vertical="center"/>
    </xf>
    <xf numFmtId="43" fontId="24" fillId="2" borderId="2" xfId="1" applyFont="1" applyFill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43" fontId="16" fillId="0" borderId="2" xfId="1" applyFont="1" applyFill="1" applyBorder="1" applyAlignment="1">
      <alignment horizontal="center" vertical="center"/>
    </xf>
    <xf numFmtId="43" fontId="17" fillId="0" borderId="2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39B7"/>
      <rgbColor rgb="0050D6D0"/>
      <rgbColor rgb="00E0DB50"/>
      <rgbColor rgb="00A0FC50"/>
      <rgbColor rgb="0044D6D0"/>
      <rgbColor rgb="00CB263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9525</xdr:colOff>
      <xdr:row>24</xdr:row>
      <xdr:rowOff>0</xdr:rowOff>
    </xdr:to>
    <xdr:pic>
      <xdr:nvPicPr>
        <xdr:cNvPr id="14607" name="Picture 6">
          <a:extLst>
            <a:ext uri="{FF2B5EF4-FFF2-40B4-BE49-F238E27FC236}">
              <a16:creationId xmlns:a16="http://schemas.microsoft.com/office/drawing/2014/main" id="{6669D57D-827C-4334-9B3B-C8FF4C63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9525" cy="488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8" workbookViewId="0">
      <selection activeCell="A17" sqref="A17"/>
    </sheetView>
  </sheetViews>
  <sheetFormatPr defaultRowHeight="12.75" x14ac:dyDescent="0.2"/>
  <cols>
    <col min="1" max="1" width="28.7109375" style="3" customWidth="1"/>
    <col min="2" max="2" width="16.42578125" style="3" customWidth="1"/>
    <col min="3" max="3" width="18.85546875" style="3" customWidth="1"/>
    <col min="4" max="4" width="14.85546875" style="3" customWidth="1"/>
    <col min="5" max="5" width="12.85546875" style="3" customWidth="1"/>
    <col min="6" max="16384" width="9.140625" style="3"/>
  </cols>
  <sheetData>
    <row r="1" spans="1:5" ht="22.5" customHeight="1" x14ac:dyDescent="0.2">
      <c r="A1" s="54" t="s">
        <v>22</v>
      </c>
      <c r="B1" s="48"/>
      <c r="C1" s="48"/>
      <c r="D1" s="48"/>
      <c r="E1" s="48"/>
    </row>
    <row r="2" spans="1:5" ht="19.5" customHeight="1" x14ac:dyDescent="0.2">
      <c r="A2" s="54" t="s">
        <v>23</v>
      </c>
      <c r="B2" s="48"/>
      <c r="C2" s="48"/>
      <c r="D2" s="48"/>
      <c r="E2" s="48"/>
    </row>
    <row r="3" spans="1:5" ht="9.75" customHeight="1" x14ac:dyDescent="0.2">
      <c r="A3" s="49"/>
      <c r="B3" s="49"/>
      <c r="C3" s="49"/>
      <c r="D3" s="49"/>
      <c r="E3" s="49"/>
    </row>
    <row r="4" spans="1:5" ht="19.5" customHeight="1" x14ac:dyDescent="0.2">
      <c r="A4" s="49"/>
      <c r="B4" s="49"/>
      <c r="C4" s="49"/>
      <c r="D4" s="106" t="s">
        <v>0</v>
      </c>
      <c r="E4" s="106"/>
    </row>
    <row r="5" spans="1:5" ht="20.100000000000001" customHeight="1" x14ac:dyDescent="0.2">
      <c r="A5" s="55" t="s">
        <v>21</v>
      </c>
      <c r="B5" s="55" t="s">
        <v>17</v>
      </c>
      <c r="C5" s="55" t="s">
        <v>18</v>
      </c>
      <c r="D5" s="109" t="s">
        <v>19</v>
      </c>
      <c r="E5" s="109"/>
    </row>
    <row r="6" spans="1:5" ht="20.100000000000001" customHeight="1" x14ac:dyDescent="0.2">
      <c r="A6" s="56" t="s">
        <v>24</v>
      </c>
      <c r="B6" s="57">
        <f>+BS_Life!B38</f>
        <v>182854.393989</v>
      </c>
      <c r="C6" s="57">
        <f>+BS_Non_Life!B52</f>
        <v>21495.040497000002</v>
      </c>
      <c r="D6" s="107">
        <f t="shared" ref="D6:D11" si="0">+B6+C6</f>
        <v>204349.43448600001</v>
      </c>
      <c r="E6" s="107"/>
    </row>
    <row r="7" spans="1:5" ht="20.100000000000001" customHeight="1" x14ac:dyDescent="0.2">
      <c r="A7" s="56" t="s">
        <v>25</v>
      </c>
      <c r="B7" s="57">
        <f>+BS_Life!C38</f>
        <v>87356.640704000005</v>
      </c>
      <c r="C7" s="57">
        <f>+BS_Non_Life!C52</f>
        <v>31022.111992999999</v>
      </c>
      <c r="D7" s="107">
        <f t="shared" si="0"/>
        <v>118378.752697</v>
      </c>
      <c r="E7" s="107"/>
    </row>
    <row r="8" spans="1:5" ht="20.100000000000001" customHeight="1" x14ac:dyDescent="0.2">
      <c r="A8" s="56" t="s">
        <v>26</v>
      </c>
      <c r="B8" s="57">
        <f>+BS_Life!D38</f>
        <v>18168.870159000002</v>
      </c>
      <c r="C8" s="57">
        <f>+BS_Non_Life!D52</f>
        <v>4845.860388000001</v>
      </c>
      <c r="D8" s="107">
        <f t="shared" si="0"/>
        <v>23014.730547000003</v>
      </c>
      <c r="E8" s="107"/>
    </row>
    <row r="9" spans="1:5" ht="20.100000000000001" customHeight="1" x14ac:dyDescent="0.2">
      <c r="A9" s="56" t="s">
        <v>27</v>
      </c>
      <c r="B9" s="57">
        <f>+BS_Life!E38</f>
        <v>3213.6678370000004</v>
      </c>
      <c r="C9" s="57">
        <f>+BS_Non_Life!E52</f>
        <v>11292.640528000002</v>
      </c>
      <c r="D9" s="107">
        <f t="shared" si="0"/>
        <v>14506.308365000003</v>
      </c>
      <c r="E9" s="107"/>
    </row>
    <row r="10" spans="1:5" ht="20.100000000000001" customHeight="1" x14ac:dyDescent="0.2">
      <c r="A10" s="56" t="s">
        <v>28</v>
      </c>
      <c r="B10" s="58">
        <f>+BS_Life!F38</f>
        <v>50327.899570000001</v>
      </c>
      <c r="C10" s="57">
        <f>+BS_Non_Life!F52</f>
        <v>26385.082798999996</v>
      </c>
      <c r="D10" s="107">
        <f t="shared" si="0"/>
        <v>76712.982369000005</v>
      </c>
      <c r="E10" s="107"/>
    </row>
    <row r="11" spans="1:5" ht="20.100000000000001" customHeight="1" x14ac:dyDescent="0.2">
      <c r="A11" s="56" t="s">
        <v>29</v>
      </c>
      <c r="B11" s="57">
        <f>+BS_Life!G38</f>
        <v>24906.756937999999</v>
      </c>
      <c r="C11" s="57">
        <f>+BS_Non_Life!G52</f>
        <v>14251.292004999998</v>
      </c>
      <c r="D11" s="107">
        <f t="shared" si="0"/>
        <v>39158.048942999994</v>
      </c>
      <c r="E11" s="107"/>
    </row>
    <row r="12" spans="1:5" ht="20.100000000000001" customHeight="1" x14ac:dyDescent="0.2">
      <c r="A12" s="59" t="s">
        <v>19</v>
      </c>
      <c r="B12" s="60">
        <f>SUM(B6:B11)</f>
        <v>366828.22919699998</v>
      </c>
      <c r="C12" s="60">
        <f>SUM(C6:C11)</f>
        <v>109292.02820999999</v>
      </c>
      <c r="D12" s="108">
        <f>SUM(D6:E11)</f>
        <v>476120.257407</v>
      </c>
      <c r="E12" s="108"/>
    </row>
    <row r="13" spans="1:5" ht="18.75" customHeight="1" x14ac:dyDescent="0.2">
      <c r="A13" s="61"/>
      <c r="B13" s="62"/>
      <c r="C13" s="62"/>
      <c r="D13" s="107"/>
      <c r="E13" s="107"/>
    </row>
    <row r="14" spans="1:5" ht="20.100000000000001" customHeight="1" x14ac:dyDescent="0.2">
      <c r="A14" s="55" t="s">
        <v>30</v>
      </c>
      <c r="B14" s="62"/>
      <c r="C14" s="62"/>
      <c r="D14" s="107"/>
      <c r="E14" s="107"/>
    </row>
    <row r="15" spans="1:5" ht="20.100000000000001" customHeight="1" x14ac:dyDescent="0.2">
      <c r="A15" s="56" t="s">
        <v>31</v>
      </c>
      <c r="B15" s="57">
        <f>+BS_Life!I38</f>
        <v>9504.7601459999987</v>
      </c>
      <c r="C15" s="57">
        <f>+BS_Non_Life!I52</f>
        <v>18204.153034000006</v>
      </c>
      <c r="D15" s="107">
        <f>+B15+C15</f>
        <v>27708.913180000003</v>
      </c>
      <c r="E15" s="107"/>
    </row>
    <row r="16" spans="1:5" ht="20.100000000000001" customHeight="1" x14ac:dyDescent="0.2">
      <c r="A16" s="56" t="s">
        <v>32</v>
      </c>
      <c r="B16" s="57">
        <f>+BS_Life!J38</f>
        <v>309507.87863500009</v>
      </c>
      <c r="C16" s="57">
        <f>+BS_Non_Life!L52</f>
        <v>9442.1619910000009</v>
      </c>
      <c r="D16" s="107">
        <f>+B16+C16</f>
        <v>318950.04062600009</v>
      </c>
      <c r="E16" s="107"/>
    </row>
    <row r="17" spans="1:5" ht="20.100000000000001" customHeight="1" x14ac:dyDescent="0.2">
      <c r="A17" s="56" t="s">
        <v>33</v>
      </c>
      <c r="B17" s="63">
        <f>+BS_Life!K38</f>
        <v>2451.5452370000003</v>
      </c>
      <c r="C17" s="57">
        <f>+BS_Non_Life!K52</f>
        <v>43370.244732000006</v>
      </c>
      <c r="D17" s="107">
        <f>+B17+C17</f>
        <v>45821.789969000005</v>
      </c>
      <c r="E17" s="107"/>
    </row>
    <row r="18" spans="1:5" ht="20.100000000000001" customHeight="1" x14ac:dyDescent="0.2">
      <c r="A18" s="56" t="s">
        <v>34</v>
      </c>
      <c r="B18" s="57">
        <f>+BS_Life!L38</f>
        <v>45364.045184000002</v>
      </c>
      <c r="C18" s="57">
        <f>+BS_Non_Life!M52</f>
        <v>36156.790745999999</v>
      </c>
      <c r="D18" s="107">
        <f>+B18+C18</f>
        <v>81520.835930000001</v>
      </c>
      <c r="E18" s="107"/>
    </row>
    <row r="19" spans="1:5" ht="20.100000000000001" customHeight="1" x14ac:dyDescent="0.2">
      <c r="A19" s="59" t="s">
        <v>19</v>
      </c>
      <c r="B19" s="60">
        <f>SUM(B15:B18)</f>
        <v>366828.22920200008</v>
      </c>
      <c r="C19" s="60">
        <f>SUM(C15:C18)</f>
        <v>107173.35050300001</v>
      </c>
      <c r="D19" s="108">
        <f>SUM(D15:E18)</f>
        <v>474001.5797050001</v>
      </c>
      <c r="E19" s="108"/>
    </row>
    <row r="20" spans="1:5" ht="15" customHeight="1" x14ac:dyDescent="0.2">
      <c r="A20" s="51"/>
      <c r="B20" s="51"/>
      <c r="C20" s="51"/>
      <c r="D20" s="51"/>
      <c r="E20" s="51"/>
    </row>
    <row r="21" spans="1:5" ht="20.100000000000001" customHeight="1" x14ac:dyDescent="0.2">
      <c r="A21" s="64" t="s">
        <v>35</v>
      </c>
      <c r="B21" s="50"/>
      <c r="C21" s="50"/>
      <c r="D21" s="50"/>
      <c r="E21" s="50"/>
    </row>
    <row r="22" spans="1:5" ht="20.100000000000001" customHeight="1" x14ac:dyDescent="0.2">
      <c r="A22" s="64" t="s">
        <v>36</v>
      </c>
      <c r="B22" s="50"/>
      <c r="C22" s="50"/>
      <c r="D22" s="50"/>
      <c r="E22" s="50"/>
    </row>
    <row r="23" spans="1:5" ht="20.100000000000001" customHeight="1" x14ac:dyDescent="0.2">
      <c r="A23" s="64" t="s">
        <v>37</v>
      </c>
      <c r="B23" s="65"/>
      <c r="C23" s="65"/>
      <c r="D23" s="50"/>
      <c r="E23" s="50"/>
    </row>
    <row r="24" spans="1:5" ht="20.100000000000001" customHeight="1" x14ac:dyDescent="0.2">
      <c r="A24" s="51"/>
      <c r="B24" s="51"/>
      <c r="C24" s="51"/>
      <c r="D24" s="106" t="s">
        <v>0</v>
      </c>
      <c r="E24" s="106"/>
    </row>
    <row r="25" spans="1:5" ht="24.75" customHeight="1" x14ac:dyDescent="0.2">
      <c r="A25" s="109" t="s">
        <v>1</v>
      </c>
      <c r="B25" s="109"/>
      <c r="C25" s="55">
        <v>2017</v>
      </c>
      <c r="D25" s="66">
        <v>2016</v>
      </c>
      <c r="E25" s="67" t="s">
        <v>20</v>
      </c>
    </row>
    <row r="26" spans="1:5" ht="20.100000000000001" customHeight="1" x14ac:dyDescent="0.2">
      <c r="A26" s="111" t="s">
        <v>31</v>
      </c>
      <c r="B26" s="112"/>
      <c r="C26" s="112"/>
      <c r="D26" s="112"/>
      <c r="E26" s="113"/>
    </row>
    <row r="27" spans="1:5" ht="20.100000000000001" customHeight="1" x14ac:dyDescent="0.2">
      <c r="A27" s="110" t="s">
        <v>41</v>
      </c>
      <c r="B27" s="110"/>
      <c r="C27" s="52">
        <f>+BS_Life!I38</f>
        <v>9504.7601459999987</v>
      </c>
      <c r="D27" s="68">
        <v>9306.35</v>
      </c>
      <c r="E27" s="69">
        <f>ROUND((C27-D27)*100/D27,0)</f>
        <v>2</v>
      </c>
    </row>
    <row r="28" spans="1:5" ht="20.100000000000001" customHeight="1" x14ac:dyDescent="0.2">
      <c r="A28" s="110" t="s">
        <v>38</v>
      </c>
      <c r="B28" s="110"/>
      <c r="C28" s="52">
        <f>+BS_Life!J38</f>
        <v>309507.87863500009</v>
      </c>
      <c r="D28" s="68">
        <v>292433.94</v>
      </c>
      <c r="E28" s="69">
        <f>ROUND((C28-D28)*100/D28,0)</f>
        <v>6</v>
      </c>
    </row>
    <row r="29" spans="1:5" ht="20.100000000000001" customHeight="1" x14ac:dyDescent="0.2">
      <c r="A29" s="110" t="s">
        <v>33</v>
      </c>
      <c r="B29" s="110"/>
      <c r="C29" s="52">
        <f>+BS_Life!K38</f>
        <v>2451.5452370000003</v>
      </c>
      <c r="D29" s="68">
        <v>4526.2</v>
      </c>
      <c r="E29" s="69">
        <f>ROUND((C29-D29)*100/D29,0)</f>
        <v>-46</v>
      </c>
    </row>
    <row r="30" spans="1:5" ht="20.100000000000001" customHeight="1" x14ac:dyDescent="0.2">
      <c r="A30" s="110" t="s">
        <v>39</v>
      </c>
      <c r="B30" s="110"/>
      <c r="C30" s="52">
        <f>+BS_Life!L38</f>
        <v>45364.045184000002</v>
      </c>
      <c r="D30" s="68">
        <v>41020.21</v>
      </c>
      <c r="E30" s="69">
        <f>ROUND((C30-D30)*100/D30,0)</f>
        <v>11</v>
      </c>
    </row>
    <row r="31" spans="1:5" ht="20.100000000000001" customHeight="1" x14ac:dyDescent="0.2">
      <c r="A31" s="114" t="s">
        <v>40</v>
      </c>
      <c r="B31" s="114"/>
      <c r="C31" s="53">
        <f>SUM(C27:C30)</f>
        <v>366828.22920200008</v>
      </c>
      <c r="D31" s="53">
        <f>SUM(D27:D30)</f>
        <v>347286.7</v>
      </c>
      <c r="E31" s="69">
        <f>ROUND((C31-D31)*100/D31,0)</f>
        <v>6</v>
      </c>
    </row>
    <row r="32" spans="1:5" ht="12.75" customHeight="1" x14ac:dyDescent="0.2">
      <c r="A32" s="115"/>
      <c r="B32" s="116"/>
      <c r="C32" s="116"/>
      <c r="D32" s="116"/>
      <c r="E32" s="117"/>
    </row>
    <row r="33" spans="1:5" ht="20.100000000000001" customHeight="1" x14ac:dyDescent="0.2">
      <c r="A33" s="111" t="s">
        <v>42</v>
      </c>
      <c r="B33" s="112"/>
      <c r="C33" s="112"/>
      <c r="D33" s="112"/>
      <c r="E33" s="113"/>
    </row>
    <row r="34" spans="1:5" ht="20.100000000000001" customHeight="1" x14ac:dyDescent="0.2">
      <c r="A34" s="110" t="s">
        <v>24</v>
      </c>
      <c r="B34" s="110"/>
      <c r="C34" s="52">
        <f>+BS_Life!B38</f>
        <v>182854.393989</v>
      </c>
      <c r="D34" s="52">
        <v>189079.34</v>
      </c>
      <c r="E34" s="69">
        <f t="shared" ref="E34:E40" si="1">ROUND((C34-D34)*100/D34,0)</f>
        <v>-3</v>
      </c>
    </row>
    <row r="35" spans="1:5" ht="20.100000000000001" customHeight="1" x14ac:dyDescent="0.2">
      <c r="A35" s="110" t="s">
        <v>25</v>
      </c>
      <c r="B35" s="110"/>
      <c r="C35" s="52">
        <f>+BS_Life!C38</f>
        <v>87356.640704000005</v>
      </c>
      <c r="D35" s="52">
        <v>58781.15</v>
      </c>
      <c r="E35" s="69">
        <f t="shared" si="1"/>
        <v>49</v>
      </c>
    </row>
    <row r="36" spans="1:5" ht="20.100000000000001" customHeight="1" x14ac:dyDescent="0.2">
      <c r="A36" s="110" t="s">
        <v>43</v>
      </c>
      <c r="B36" s="110"/>
      <c r="C36" s="52">
        <f>+BS_Life!F38</f>
        <v>50327.899570000001</v>
      </c>
      <c r="D36" s="52">
        <v>651.23</v>
      </c>
      <c r="E36" s="69">
        <f t="shared" si="1"/>
        <v>7628</v>
      </c>
    </row>
    <row r="37" spans="1:5" ht="20.100000000000001" customHeight="1" x14ac:dyDescent="0.2">
      <c r="A37" s="110" t="s">
        <v>27</v>
      </c>
      <c r="B37" s="110"/>
      <c r="C37" s="52">
        <f>+BS_Life!E38</f>
        <v>3213.6678370000004</v>
      </c>
      <c r="D37" s="52">
        <v>48834.16</v>
      </c>
      <c r="E37" s="69">
        <f t="shared" si="1"/>
        <v>-93</v>
      </c>
    </row>
    <row r="38" spans="1:5" ht="20.100000000000001" customHeight="1" x14ac:dyDescent="0.2">
      <c r="A38" s="110" t="s">
        <v>44</v>
      </c>
      <c r="B38" s="110"/>
      <c r="C38" s="52">
        <f>+BS_Life!G38</f>
        <v>24906.756937999999</v>
      </c>
      <c r="D38" s="52">
        <v>22625.53</v>
      </c>
      <c r="E38" s="69">
        <f t="shared" si="1"/>
        <v>10</v>
      </c>
    </row>
    <row r="39" spans="1:5" ht="20.100000000000001" customHeight="1" x14ac:dyDescent="0.2">
      <c r="A39" s="110" t="s">
        <v>45</v>
      </c>
      <c r="B39" s="110"/>
      <c r="C39" s="52">
        <f>+BS_Life!D38</f>
        <v>18168.870159000002</v>
      </c>
      <c r="D39" s="52">
        <v>27315.279999999999</v>
      </c>
      <c r="E39" s="69">
        <f t="shared" si="1"/>
        <v>-33</v>
      </c>
    </row>
    <row r="40" spans="1:5" ht="20.100000000000001" customHeight="1" x14ac:dyDescent="0.2">
      <c r="A40" s="114" t="s">
        <v>46</v>
      </c>
      <c r="B40" s="114"/>
      <c r="C40" s="53">
        <f>SUM(C34:C39)</f>
        <v>366828.22919699998</v>
      </c>
      <c r="D40" s="53">
        <f>SUM(D34:D39)</f>
        <v>347286.69000000006</v>
      </c>
      <c r="E40" s="69">
        <f t="shared" si="1"/>
        <v>6</v>
      </c>
    </row>
    <row r="41" spans="1:5" ht="20.100000000000001" customHeight="1" x14ac:dyDescent="0.2">
      <c r="A41" s="1"/>
      <c r="B41" s="1"/>
      <c r="D41" s="2"/>
      <c r="E41" s="4"/>
    </row>
    <row r="42" spans="1:5" ht="20.100000000000001" customHeight="1" x14ac:dyDescent="0.2"/>
    <row r="43" spans="1:5" ht="20.100000000000001" customHeight="1" x14ac:dyDescent="0.2"/>
  </sheetData>
  <mergeCells count="33">
    <mergeCell ref="A27:B27"/>
    <mergeCell ref="A28:B28"/>
    <mergeCell ref="A29:B29"/>
    <mergeCell ref="A30:B30"/>
    <mergeCell ref="A31:B31"/>
    <mergeCell ref="A34:B34"/>
    <mergeCell ref="A35:B35"/>
    <mergeCell ref="A36:B36"/>
    <mergeCell ref="A37:B37"/>
    <mergeCell ref="A33:E33"/>
    <mergeCell ref="A40:B40"/>
    <mergeCell ref="A25:B25"/>
    <mergeCell ref="A38:B38"/>
    <mergeCell ref="A39:B39"/>
    <mergeCell ref="A26:E26"/>
    <mergeCell ref="A32:E32"/>
    <mergeCell ref="D19:E19"/>
    <mergeCell ref="D5:E5"/>
    <mergeCell ref="D6:E6"/>
    <mergeCell ref="D7:E7"/>
    <mergeCell ref="D8:E8"/>
    <mergeCell ref="D9:E9"/>
    <mergeCell ref="D10:E10"/>
    <mergeCell ref="D4:E4"/>
    <mergeCell ref="D11:E11"/>
    <mergeCell ref="D12:E12"/>
    <mergeCell ref="D24:E24"/>
    <mergeCell ref="D13:E13"/>
    <mergeCell ref="D14:E14"/>
    <mergeCell ref="D15:E15"/>
    <mergeCell ref="D16:E16"/>
    <mergeCell ref="D17:E17"/>
    <mergeCell ref="D18:E18"/>
  </mergeCells>
  <pageMargins left="1" right="0.13" top="0.41" bottom="0.19" header="0.3" footer="0.16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opLeftCell="A10" workbookViewId="0">
      <selection activeCell="M14" sqref="M14"/>
    </sheetView>
  </sheetViews>
  <sheetFormatPr defaultRowHeight="12.75" x14ac:dyDescent="0.2"/>
  <cols>
    <col min="1" max="1" width="25" style="14" customWidth="1"/>
    <col min="2" max="4" width="10.5703125" style="14" bestFit="1" customWidth="1"/>
    <col min="5" max="13" width="11.42578125" style="14" bestFit="1" customWidth="1"/>
    <col min="14" max="16384" width="9.140625" style="14"/>
  </cols>
  <sheetData>
    <row r="1" spans="1:18" ht="16.5" x14ac:dyDescent="0.2">
      <c r="A1" s="20" t="s">
        <v>178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8" ht="14.25" x14ac:dyDescent="0.2">
      <c r="A2" s="11"/>
      <c r="J2" s="27"/>
      <c r="K2" s="27"/>
    </row>
    <row r="3" spans="1:18" ht="21.75" customHeight="1" x14ac:dyDescent="0.2">
      <c r="A3" s="25" t="s">
        <v>181</v>
      </c>
      <c r="M3" s="144" t="s">
        <v>0</v>
      </c>
      <c r="N3" s="144"/>
    </row>
    <row r="4" spans="1:18" ht="24.75" customHeight="1" x14ac:dyDescent="0.2">
      <c r="A4" s="21" t="s">
        <v>179</v>
      </c>
      <c r="B4" s="22" t="s">
        <v>182</v>
      </c>
      <c r="C4" s="22" t="s">
        <v>183</v>
      </c>
      <c r="D4" s="22" t="s">
        <v>184</v>
      </c>
      <c r="E4" s="22" t="s">
        <v>185</v>
      </c>
      <c r="F4" s="22" t="s">
        <v>186</v>
      </c>
      <c r="G4" s="22" t="s">
        <v>187</v>
      </c>
      <c r="H4" s="22" t="s">
        <v>188</v>
      </c>
      <c r="I4" s="22" t="s">
        <v>189</v>
      </c>
      <c r="J4" s="22" t="s">
        <v>190</v>
      </c>
      <c r="K4" s="22" t="s">
        <v>191</v>
      </c>
      <c r="L4" s="22" t="s">
        <v>192</v>
      </c>
      <c r="M4" s="22" t="s">
        <v>193</v>
      </c>
      <c r="N4" s="22" t="s">
        <v>194</v>
      </c>
      <c r="O4" s="8"/>
      <c r="P4" s="8"/>
      <c r="Q4" s="8"/>
      <c r="R4" s="8"/>
    </row>
    <row r="5" spans="1:18" ht="20.25" customHeight="1" x14ac:dyDescent="0.2">
      <c r="A5" s="23" t="s">
        <v>180</v>
      </c>
      <c r="B5" s="26">
        <v>7975.7</v>
      </c>
      <c r="C5" s="26">
        <v>9417.32</v>
      </c>
      <c r="D5" s="26">
        <v>11163.93</v>
      </c>
      <c r="E5" s="26">
        <v>12284.2</v>
      </c>
      <c r="F5" s="26">
        <v>14883.94</v>
      </c>
      <c r="G5" s="26">
        <v>17274.12</v>
      </c>
      <c r="H5" s="26">
        <v>19456.7</v>
      </c>
      <c r="I5" s="26">
        <v>21037.53</v>
      </c>
      <c r="J5" s="26">
        <v>22679.24</v>
      </c>
      <c r="K5" s="26">
        <v>24307.85</v>
      </c>
      <c r="L5" s="26">
        <v>25392.52</v>
      </c>
      <c r="M5" s="26">
        <f>+Achiv_Non_Life!F50</f>
        <v>27373.167784789999</v>
      </c>
      <c r="N5" s="24">
        <f>(M5/B5)^(1/(12-1))-1</f>
        <v>0.11863120928265025</v>
      </c>
      <c r="O5" s="8"/>
      <c r="P5" s="8"/>
      <c r="Q5" s="8"/>
      <c r="R5" s="8"/>
    </row>
    <row r="6" spans="1:18" ht="18" customHeight="1" x14ac:dyDescent="0.2">
      <c r="A6" s="23" t="s">
        <v>9</v>
      </c>
      <c r="B6" s="26">
        <v>4256.03</v>
      </c>
      <c r="C6" s="26">
        <v>5126.75</v>
      </c>
      <c r="D6" s="26">
        <v>5900.34</v>
      </c>
      <c r="E6" s="26">
        <v>6670.67</v>
      </c>
      <c r="F6" s="26">
        <v>8222.35</v>
      </c>
      <c r="G6" s="26">
        <v>9482.11</v>
      </c>
      <c r="H6" s="26">
        <v>11128.22</v>
      </c>
      <c r="I6" s="26">
        <v>11813.53</v>
      </c>
      <c r="J6" s="26">
        <v>12570.47</v>
      </c>
      <c r="K6" s="26">
        <v>13135.38</v>
      </c>
      <c r="L6" s="26">
        <v>13589.15</v>
      </c>
      <c r="M6" s="26">
        <f>+Achiv_Non_Life!K50</f>
        <v>15305.178115729999</v>
      </c>
      <c r="N6" s="24">
        <f t="shared" ref="N6:N11" si="0">(M6/B6)^(1/(12-1))-1</f>
        <v>0.12338943977432937</v>
      </c>
      <c r="O6" s="8"/>
      <c r="P6" s="8"/>
      <c r="Q6" s="8"/>
      <c r="R6" s="8"/>
    </row>
    <row r="7" spans="1:18" ht="18" customHeight="1" x14ac:dyDescent="0.2">
      <c r="A7" s="23" t="s">
        <v>195</v>
      </c>
      <c r="B7" s="26">
        <v>3312.19</v>
      </c>
      <c r="C7" s="26">
        <v>3699.09</v>
      </c>
      <c r="D7" s="26">
        <v>3739.83</v>
      </c>
      <c r="E7" s="26">
        <v>3291.3</v>
      </c>
      <c r="F7" s="26">
        <v>3037.03</v>
      </c>
      <c r="G7" s="26">
        <v>3929.44</v>
      </c>
      <c r="H7" s="26">
        <v>4320.6899999999996</v>
      </c>
      <c r="I7" s="26">
        <v>5407.82</v>
      </c>
      <c r="J7" s="26">
        <v>6424.82</v>
      </c>
      <c r="K7" s="26">
        <v>7596.52</v>
      </c>
      <c r="L7" s="26">
        <v>6284.06</v>
      </c>
      <c r="M7" s="26">
        <f>+Achiv_Non_Life!P50</f>
        <v>6462.5526424600002</v>
      </c>
      <c r="N7" s="24">
        <f t="shared" si="0"/>
        <v>6.2649141385043627E-2</v>
      </c>
      <c r="O7" s="8"/>
      <c r="P7" s="8"/>
      <c r="Q7" s="8"/>
      <c r="R7" s="8"/>
    </row>
    <row r="8" spans="1:18" ht="18" customHeight="1" x14ac:dyDescent="0.2">
      <c r="A8" s="23" t="s">
        <v>103</v>
      </c>
      <c r="B8" s="26">
        <v>1007.63</v>
      </c>
      <c r="C8" s="26">
        <v>1179.77</v>
      </c>
      <c r="D8" s="26">
        <v>1354.74</v>
      </c>
      <c r="E8" s="26">
        <v>1443.4</v>
      </c>
      <c r="F8" s="26">
        <v>2477.3200000000002</v>
      </c>
      <c r="G8" s="26">
        <v>1801.85</v>
      </c>
      <c r="H8" s="26">
        <v>2068.84</v>
      </c>
      <c r="I8" s="26">
        <v>2466.91</v>
      </c>
      <c r="J8" s="26">
        <v>2804.29</v>
      </c>
      <c r="K8" s="26">
        <v>3124.12</v>
      </c>
      <c r="L8" s="26">
        <v>3268.83</v>
      </c>
      <c r="M8" s="26">
        <f>+Achiv_Non_Life!U50</f>
        <v>3279.0490190499991</v>
      </c>
      <c r="N8" s="24">
        <f t="shared" si="0"/>
        <v>0.11323300697077254</v>
      </c>
      <c r="O8" s="8"/>
      <c r="P8" s="8"/>
      <c r="Q8" s="8"/>
      <c r="R8" s="8"/>
    </row>
    <row r="9" spans="1:18" ht="18" customHeight="1" x14ac:dyDescent="0.2">
      <c r="A9" s="23" t="s">
        <v>196</v>
      </c>
      <c r="B9" s="26">
        <v>456.98</v>
      </c>
      <c r="C9" s="26">
        <v>678.91</v>
      </c>
      <c r="D9" s="26">
        <v>928.76</v>
      </c>
      <c r="E9" s="26">
        <v>1356.95</v>
      </c>
      <c r="F9" s="26">
        <v>1262.94</v>
      </c>
      <c r="G9" s="26">
        <v>1999.71</v>
      </c>
      <c r="H9" s="26">
        <v>3060.19</v>
      </c>
      <c r="I9" s="26">
        <v>3190.96</v>
      </c>
      <c r="J9" s="26">
        <v>2798.22</v>
      </c>
      <c r="K9" s="26">
        <v>2894.74</v>
      </c>
      <c r="L9" s="26">
        <v>3045.22</v>
      </c>
      <c r="M9" s="26">
        <f>+Achiv_Non_Life!Z50</f>
        <v>3358.1101770000005</v>
      </c>
      <c r="N9" s="24">
        <f t="shared" si="0"/>
        <v>0.19879590229919608</v>
      </c>
      <c r="O9" s="8"/>
      <c r="P9" s="8"/>
      <c r="Q9" s="8"/>
      <c r="R9" s="8"/>
    </row>
    <row r="10" spans="1:18" ht="18" customHeight="1" x14ac:dyDescent="0.2">
      <c r="A10" s="23" t="s">
        <v>197</v>
      </c>
      <c r="B10" s="26">
        <v>7220.89</v>
      </c>
      <c r="C10" s="26">
        <v>8571.4</v>
      </c>
      <c r="D10" s="26">
        <v>11274.56</v>
      </c>
      <c r="E10" s="26">
        <v>12765.15</v>
      </c>
      <c r="F10" s="26">
        <v>17107.37</v>
      </c>
      <c r="G10" s="26">
        <v>21960.04</v>
      </c>
      <c r="H10" s="26">
        <v>25513.56</v>
      </c>
      <c r="I10" s="26">
        <v>29119.19</v>
      </c>
      <c r="J10" s="26">
        <v>30009.75</v>
      </c>
      <c r="K10" s="26">
        <v>32164.19</v>
      </c>
      <c r="L10" s="26">
        <v>34016.839999999997</v>
      </c>
      <c r="M10" s="26">
        <f>+BS_Non_Life!B50+BS_Non_Life!C50</f>
        <v>38550.041807999994</v>
      </c>
      <c r="N10" s="24">
        <f t="shared" si="0"/>
        <v>0.16447555176458462</v>
      </c>
      <c r="O10" s="8"/>
      <c r="P10" s="8"/>
      <c r="Q10" s="8"/>
      <c r="R10" s="8"/>
    </row>
    <row r="11" spans="1:18" ht="18" customHeight="1" x14ac:dyDescent="0.2">
      <c r="A11" s="23" t="s">
        <v>96</v>
      </c>
      <c r="B11" s="26">
        <v>15497.68</v>
      </c>
      <c r="C11" s="26">
        <v>19829.68</v>
      </c>
      <c r="D11" s="26">
        <v>22756.46</v>
      </c>
      <c r="E11" s="26">
        <v>32676.63</v>
      </c>
      <c r="F11" s="26">
        <v>33368.620000000003</v>
      </c>
      <c r="G11" s="26">
        <v>42059.77</v>
      </c>
      <c r="H11" s="26">
        <v>48347.02</v>
      </c>
      <c r="I11" s="26">
        <v>54874.9</v>
      </c>
      <c r="J11" s="26">
        <v>59365.61</v>
      </c>
      <c r="K11" s="26">
        <v>63035.95</v>
      </c>
      <c r="L11" s="26">
        <v>67846.62</v>
      </c>
      <c r="M11" s="26">
        <f>+BS_Non_Life!H50</f>
        <v>75307.571981000016</v>
      </c>
      <c r="N11" s="24">
        <f t="shared" si="0"/>
        <v>0.15455767438595536</v>
      </c>
      <c r="O11" s="8"/>
      <c r="P11" s="8"/>
      <c r="Q11" s="8"/>
      <c r="R11" s="8"/>
    </row>
    <row r="12" spans="1:18" ht="18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 customHeight="1" x14ac:dyDescent="0.2">
      <c r="A13" s="25" t="s">
        <v>198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8" customHeight="1" x14ac:dyDescent="0.2">
      <c r="A14" s="23" t="s">
        <v>199</v>
      </c>
      <c r="B14" s="26">
        <v>1044.54</v>
      </c>
      <c r="C14" s="26">
        <v>1265.82</v>
      </c>
      <c r="D14" s="26">
        <v>1418.99</v>
      </c>
      <c r="E14" s="26">
        <v>1613.51</v>
      </c>
      <c r="F14" s="26">
        <v>1659.96</v>
      </c>
      <c r="G14" s="26">
        <v>1974.71</v>
      </c>
      <c r="H14" s="26">
        <v>2189.2399999999998</v>
      </c>
      <c r="I14" s="26">
        <v>1909.61</v>
      </c>
      <c r="J14" s="26">
        <v>1761.14</v>
      </c>
      <c r="K14" s="26">
        <v>2073.1</v>
      </c>
      <c r="L14" s="26">
        <v>2234.9499999999998</v>
      </c>
      <c r="M14" s="26">
        <f>+Achiv_Non_Life!F51</f>
        <v>9315.3423810000004</v>
      </c>
      <c r="N14" s="24">
        <f>(M14/B14)^(1/(12-1))-1</f>
        <v>0.22008060206697455</v>
      </c>
      <c r="O14" s="8"/>
      <c r="P14" s="8"/>
      <c r="Q14" s="8"/>
      <c r="R14" s="8"/>
    </row>
    <row r="15" spans="1:18" ht="18" customHeight="1" x14ac:dyDescent="0.2">
      <c r="A15" s="23" t="s">
        <v>220</v>
      </c>
      <c r="B15" s="26">
        <v>4008.05</v>
      </c>
      <c r="C15" s="26">
        <v>4141.07</v>
      </c>
      <c r="D15" s="26">
        <v>4331.71</v>
      </c>
      <c r="E15" s="26">
        <v>5034.7</v>
      </c>
      <c r="F15" s="26">
        <v>5819.29</v>
      </c>
      <c r="G15" s="26">
        <v>6400.74</v>
      </c>
      <c r="H15" s="26">
        <v>7347.91</v>
      </c>
      <c r="I15" s="26">
        <v>2938.5</v>
      </c>
      <c r="J15" s="26">
        <v>3981.41</v>
      </c>
      <c r="K15" s="26">
        <v>3612</v>
      </c>
      <c r="L15" s="26">
        <v>3881.21</v>
      </c>
      <c r="M15" s="26">
        <f>+BS_Non_Life!B51+BS_Non_Life!C51</f>
        <v>13967.110682</v>
      </c>
      <c r="N15" s="24">
        <f>(M15/B15)^(1/(12-1))-1</f>
        <v>0.12018175528258213</v>
      </c>
      <c r="O15" s="8"/>
      <c r="P15" s="8"/>
      <c r="Q15" s="8"/>
      <c r="R15" s="8"/>
    </row>
    <row r="16" spans="1:18" ht="18" customHeight="1" x14ac:dyDescent="0.2">
      <c r="A16" s="23" t="s">
        <v>96</v>
      </c>
      <c r="B16" s="26">
        <v>6666.18</v>
      </c>
      <c r="C16" s="26">
        <v>7768.14</v>
      </c>
      <c r="D16" s="26">
        <v>9623.84</v>
      </c>
      <c r="E16" s="26">
        <v>9946.27</v>
      </c>
      <c r="F16" s="26">
        <v>11211.13</v>
      </c>
      <c r="G16" s="26">
        <v>13383.79</v>
      </c>
      <c r="H16" s="26">
        <v>15732.77</v>
      </c>
      <c r="I16" s="26">
        <v>18471</v>
      </c>
      <c r="J16" s="26">
        <v>21358.13</v>
      </c>
      <c r="K16" s="26">
        <v>24725.040000000001</v>
      </c>
      <c r="L16" s="26">
        <v>28147.27</v>
      </c>
      <c r="M16" s="26">
        <f>+BS_Non_Life!H51</f>
        <v>33984.456228999996</v>
      </c>
      <c r="N16" s="24">
        <f>(M16/B16)^(1/(12-1))-1</f>
        <v>0.1596031593246654</v>
      </c>
      <c r="O16" s="8"/>
      <c r="P16" s="8"/>
      <c r="Q16" s="8"/>
      <c r="R16" s="8"/>
    </row>
    <row r="17" spans="1:18" ht="18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8" customHeight="1" x14ac:dyDescent="0.2">
      <c r="A18" s="25" t="s">
        <v>200</v>
      </c>
      <c r="O18" s="8"/>
      <c r="P18" s="8"/>
      <c r="Q18" s="8"/>
      <c r="R18" s="8"/>
    </row>
    <row r="19" spans="1:18" ht="18" customHeight="1" x14ac:dyDescent="0.2">
      <c r="A19" s="23" t="s">
        <v>201</v>
      </c>
      <c r="B19" s="26">
        <v>9855.27</v>
      </c>
      <c r="C19" s="26">
        <v>9858.15</v>
      </c>
      <c r="D19" s="26">
        <v>12158.374400000001</v>
      </c>
      <c r="E19" s="26">
        <v>16471.11</v>
      </c>
      <c r="F19" s="26">
        <v>19124.400000000001</v>
      </c>
      <c r="G19" s="26">
        <v>17703.400000000001</v>
      </c>
      <c r="H19" s="26">
        <v>15282.33</v>
      </c>
      <c r="I19" s="26">
        <v>13788.48</v>
      </c>
      <c r="J19" s="26">
        <v>16345.18</v>
      </c>
      <c r="K19" s="26">
        <v>18030.45</v>
      </c>
      <c r="L19" s="26">
        <v>20648.89</v>
      </c>
      <c r="M19" s="26">
        <f>+Achiv_Life!B36</f>
        <v>22990.905055999996</v>
      </c>
      <c r="N19" s="24">
        <f>(M19/B19)^(1/(12-1))-1</f>
        <v>8.0051145631150344E-2</v>
      </c>
      <c r="O19" s="8"/>
      <c r="P19" s="8"/>
      <c r="Q19" s="8"/>
      <c r="R19" s="8"/>
    </row>
    <row r="20" spans="1:18" ht="18" customHeight="1" x14ac:dyDescent="0.2">
      <c r="A20" s="23" t="s">
        <v>5</v>
      </c>
      <c r="B20" s="26">
        <v>14283.91</v>
      </c>
      <c r="C20" s="26">
        <v>18598.48</v>
      </c>
      <c r="D20" s="26">
        <v>23187.97</v>
      </c>
      <c r="E20" s="26">
        <v>27987.84</v>
      </c>
      <c r="F20" s="26">
        <v>33306.67</v>
      </c>
      <c r="G20" s="26">
        <v>39674.17</v>
      </c>
      <c r="H20" s="26">
        <v>45972.95</v>
      </c>
      <c r="I20" s="26">
        <v>47405.75</v>
      </c>
      <c r="J20" s="26">
        <v>48101.52</v>
      </c>
      <c r="K20" s="26">
        <v>48440.39</v>
      </c>
      <c r="L20" s="26">
        <v>48242.41</v>
      </c>
      <c r="M20" s="26">
        <f>+Achiv_Life!C36</f>
        <v>49251.208837999999</v>
      </c>
      <c r="N20" s="24">
        <f t="shared" ref="N20:N25" si="1">(M20/B20)^(1/(12-1))-1</f>
        <v>0.1191027961292046</v>
      </c>
      <c r="O20" s="8"/>
      <c r="P20" s="8"/>
      <c r="Q20" s="8"/>
      <c r="R20" s="8"/>
    </row>
    <row r="21" spans="1:18" ht="18" customHeight="1" x14ac:dyDescent="0.2">
      <c r="A21" s="23" t="s">
        <v>202</v>
      </c>
      <c r="B21" s="26">
        <v>455.42</v>
      </c>
      <c r="C21" s="26">
        <v>708.47</v>
      </c>
      <c r="D21" s="26">
        <v>628.17439999999999</v>
      </c>
      <c r="E21" s="26">
        <v>1498.97</v>
      </c>
      <c r="F21" s="26">
        <v>2268.0700000000002</v>
      </c>
      <c r="G21" s="26">
        <v>2357.69</v>
      </c>
      <c r="H21" s="26">
        <v>1183.7</v>
      </c>
      <c r="I21" s="26">
        <v>1235</v>
      </c>
      <c r="J21" s="26">
        <v>2415.2199999999998</v>
      </c>
      <c r="K21" s="26">
        <v>12788.8</v>
      </c>
      <c r="L21" s="26">
        <v>2062.5500000000002</v>
      </c>
      <c r="M21" s="26">
        <f>+Achiv_Life!D36</f>
        <v>4297.9515279999996</v>
      </c>
      <c r="N21" s="24">
        <f t="shared" si="1"/>
        <v>0.22637326420333359</v>
      </c>
      <c r="O21" s="8"/>
      <c r="P21" s="8"/>
      <c r="Q21" s="8"/>
      <c r="R21" s="8"/>
    </row>
    <row r="22" spans="1:18" ht="18" customHeight="1" x14ac:dyDescent="0.2">
      <c r="A22" s="23" t="s">
        <v>203</v>
      </c>
      <c r="B22" s="26">
        <f>SUM(B19:B21)</f>
        <v>24594.6</v>
      </c>
      <c r="C22" s="26">
        <f>SUM(C19:C21)</f>
        <v>29165.1</v>
      </c>
      <c r="D22" s="26">
        <f t="shared" ref="D22:M22" si="2">SUM(D19:D21)</f>
        <v>35974.518800000005</v>
      </c>
      <c r="E22" s="26">
        <f t="shared" si="2"/>
        <v>45957.919999999998</v>
      </c>
      <c r="F22" s="30">
        <f>SUM(F19:F21)</f>
        <v>54699.14</v>
      </c>
      <c r="G22" s="26">
        <f t="shared" si="2"/>
        <v>59735.26</v>
      </c>
      <c r="H22" s="26">
        <f t="shared" si="2"/>
        <v>62438.979999999996</v>
      </c>
      <c r="I22" s="26">
        <f t="shared" si="2"/>
        <v>62429.229999999996</v>
      </c>
      <c r="J22" s="30">
        <f>SUM(J19:J21)</f>
        <v>66861.919999999998</v>
      </c>
      <c r="K22" s="30">
        <f t="shared" si="2"/>
        <v>79259.64</v>
      </c>
      <c r="L22" s="26">
        <f t="shared" si="2"/>
        <v>70953.850000000006</v>
      </c>
      <c r="M22" s="26">
        <f t="shared" si="2"/>
        <v>76540.065422</v>
      </c>
      <c r="N22" s="24">
        <f t="shared" si="1"/>
        <v>0.10872194162546922</v>
      </c>
      <c r="O22" s="8"/>
      <c r="P22" s="8"/>
      <c r="Q22" s="8"/>
      <c r="R22" s="8"/>
    </row>
    <row r="23" spans="1:18" ht="18" customHeight="1" x14ac:dyDescent="0.2">
      <c r="A23" s="23" t="s">
        <v>115</v>
      </c>
      <c r="B23" s="26">
        <v>48264.09</v>
      </c>
      <c r="C23" s="26">
        <v>62623.83</v>
      </c>
      <c r="D23" s="26">
        <v>80863.149999999994</v>
      </c>
      <c r="E23" s="26">
        <v>105153.96</v>
      </c>
      <c r="F23" s="26">
        <v>134928.65</v>
      </c>
      <c r="G23" s="26">
        <v>164229.49</v>
      </c>
      <c r="H23" s="26">
        <v>195062.99</v>
      </c>
      <c r="I23" s="26">
        <v>229227.06</v>
      </c>
      <c r="J23" s="26">
        <v>251496.19</v>
      </c>
      <c r="K23" s="26">
        <v>263725.98</v>
      </c>
      <c r="L23" s="26">
        <v>274656.26</v>
      </c>
      <c r="M23" s="26">
        <f>+Achiv_Life!M36</f>
        <v>287449.18037400016</v>
      </c>
      <c r="N23" s="24">
        <f t="shared" si="1"/>
        <v>0.17611235939964431</v>
      </c>
      <c r="O23" s="8"/>
      <c r="P23" s="8"/>
      <c r="Q23" s="8"/>
      <c r="R23" s="8"/>
    </row>
    <row r="24" spans="1:18" ht="18" customHeight="1" x14ac:dyDescent="0.2">
      <c r="A24" s="23" t="s">
        <v>197</v>
      </c>
      <c r="B24" s="26">
        <v>40078.89</v>
      </c>
      <c r="C24" s="26">
        <v>43997.75</v>
      </c>
      <c r="D24" s="26">
        <v>67151.19</v>
      </c>
      <c r="E24" s="26">
        <v>87053.53</v>
      </c>
      <c r="F24" s="26">
        <v>113140.54</v>
      </c>
      <c r="G24" s="26">
        <v>142173.06</v>
      </c>
      <c r="H24" s="26">
        <v>171859.16</v>
      </c>
      <c r="I24" s="26">
        <v>193523.02</v>
      </c>
      <c r="J24" s="26">
        <v>221060.67</v>
      </c>
      <c r="K24" s="26">
        <v>233816.78</v>
      </c>
      <c r="L24" s="26">
        <v>240310.61</v>
      </c>
      <c r="M24" s="26">
        <f>+BS_Life!B36+BS_Life!C36</f>
        <v>256445.28130500001</v>
      </c>
      <c r="N24" s="24">
        <f t="shared" si="1"/>
        <v>0.18380429567424117</v>
      </c>
      <c r="O24" s="8"/>
      <c r="P24" s="8"/>
      <c r="Q24" s="8"/>
      <c r="R24" s="8"/>
    </row>
    <row r="25" spans="1:18" ht="18" customHeight="1" x14ac:dyDescent="0.2">
      <c r="A25" s="23" t="s">
        <v>96</v>
      </c>
      <c r="B25" s="26">
        <v>56888.88</v>
      </c>
      <c r="C25" s="26" t="s">
        <v>217</v>
      </c>
      <c r="D25" s="26">
        <v>91367.73</v>
      </c>
      <c r="E25" s="26">
        <v>118020.15</v>
      </c>
      <c r="F25" s="26">
        <v>152926.21</v>
      </c>
      <c r="G25" s="26">
        <v>189896.01</v>
      </c>
      <c r="H25" s="26">
        <v>224089.82</v>
      </c>
      <c r="I25" s="26">
        <v>259827.21</v>
      </c>
      <c r="J25" s="26">
        <v>297819.06</v>
      </c>
      <c r="K25" s="26">
        <v>311125.8</v>
      </c>
      <c r="L25" s="26">
        <v>327675.73</v>
      </c>
      <c r="M25" s="26">
        <f>+BS_Life!H36</f>
        <v>346521.36988299998</v>
      </c>
      <c r="N25" s="24">
        <f t="shared" si="1"/>
        <v>0.17851904058739532</v>
      </c>
      <c r="O25" s="8"/>
      <c r="P25" s="8"/>
      <c r="Q25" s="8"/>
      <c r="R25" s="8"/>
    </row>
    <row r="26" spans="1:18" ht="18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8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" customHeight="1" x14ac:dyDescent="0.2">
      <c r="A28" s="25" t="s">
        <v>204</v>
      </c>
      <c r="O28" s="8"/>
      <c r="P28" s="8"/>
      <c r="Q28" s="8"/>
      <c r="R28" s="8"/>
    </row>
    <row r="29" spans="1:18" ht="18" customHeight="1" x14ac:dyDescent="0.2">
      <c r="A29" s="23" t="s">
        <v>201</v>
      </c>
      <c r="B29" s="26">
        <v>535.23400000000004</v>
      </c>
      <c r="C29" s="26">
        <v>539.96</v>
      </c>
      <c r="D29" s="26">
        <v>768.42399999999998</v>
      </c>
      <c r="E29" s="26">
        <v>703.34</v>
      </c>
      <c r="F29" s="26">
        <v>657.62</v>
      </c>
      <c r="G29" s="26">
        <v>680.36</v>
      </c>
      <c r="H29" s="26">
        <v>643.11</v>
      </c>
      <c r="I29" s="26">
        <v>605.88</v>
      </c>
      <c r="J29" s="26">
        <v>675.32</v>
      </c>
      <c r="K29" s="26">
        <v>681.72</v>
      </c>
      <c r="L29" s="26">
        <v>775.25</v>
      </c>
      <c r="M29" s="26">
        <f>+Achiv_Life!B37</f>
        <v>955.61460999999997</v>
      </c>
      <c r="N29" s="24">
        <f>(M29/B29)^(1/(12-1))-1</f>
        <v>5.4108636433841228E-2</v>
      </c>
      <c r="O29" s="8"/>
      <c r="P29" s="8"/>
      <c r="Q29" s="8"/>
      <c r="R29" s="8"/>
    </row>
    <row r="30" spans="1:18" ht="18" customHeight="1" x14ac:dyDescent="0.2">
      <c r="A30" s="23" t="s">
        <v>5</v>
      </c>
      <c r="B30" s="26">
        <v>1553.0039999999999</v>
      </c>
      <c r="C30" s="26">
        <v>1961.8</v>
      </c>
      <c r="D30" s="26">
        <v>2161.6239999999998</v>
      </c>
      <c r="E30" s="26">
        <v>2511.85</v>
      </c>
      <c r="F30" s="26">
        <v>2598.33</v>
      </c>
      <c r="G30" s="26">
        <v>2206.37</v>
      </c>
      <c r="H30" s="26">
        <v>2546.0300000000002</v>
      </c>
      <c r="I30" s="26">
        <v>2811.97</v>
      </c>
      <c r="J30" s="26">
        <v>2958.83</v>
      </c>
      <c r="K30" s="26">
        <v>3088.56</v>
      </c>
      <c r="L30" s="26">
        <v>2946.3</v>
      </c>
      <c r="M30" s="26">
        <f>+Achiv_Life!C37</f>
        <v>3327.5742599999999</v>
      </c>
      <c r="N30" s="24">
        <f t="shared" ref="N30:N35" si="3">(M30/B30)^(1/(12-1))-1</f>
        <v>7.1733570862350771E-2</v>
      </c>
      <c r="O30" s="8"/>
      <c r="P30" s="8"/>
      <c r="Q30" s="8"/>
      <c r="R30" s="8"/>
    </row>
    <row r="31" spans="1:18" ht="18" customHeight="1" x14ac:dyDescent="0.2">
      <c r="A31" s="23" t="s">
        <v>202</v>
      </c>
      <c r="B31" s="26">
        <v>145.29</v>
      </c>
      <c r="C31" s="26">
        <v>145.29</v>
      </c>
      <c r="D31" s="26">
        <v>148.11000000000001</v>
      </c>
      <c r="E31" s="26">
        <v>131.63</v>
      </c>
      <c r="F31" s="26">
        <v>203.62</v>
      </c>
      <c r="G31" s="26">
        <v>192.12</v>
      </c>
      <c r="H31" s="26">
        <v>242.88</v>
      </c>
      <c r="I31" s="26">
        <v>233.3</v>
      </c>
      <c r="J31" s="26">
        <v>265.12</v>
      </c>
      <c r="K31" s="26">
        <v>258.29000000000002</v>
      </c>
      <c r="L31" s="26">
        <v>388.04</v>
      </c>
      <c r="M31" s="26">
        <f>+Achiv_Life!D37</f>
        <v>430.16779000000002</v>
      </c>
      <c r="N31" s="24">
        <f t="shared" si="3"/>
        <v>0.10370940226279779</v>
      </c>
      <c r="O31" s="8"/>
      <c r="P31" s="8"/>
      <c r="Q31" s="8"/>
      <c r="R31" s="8"/>
    </row>
    <row r="32" spans="1:18" ht="18" customHeight="1" x14ac:dyDescent="0.2">
      <c r="A32" s="23" t="s">
        <v>205</v>
      </c>
      <c r="B32" s="26">
        <f>SUM(B29:B31)</f>
        <v>2233.5279999999998</v>
      </c>
      <c r="C32" s="30">
        <f>SUM(C29:C31)</f>
        <v>2647.05</v>
      </c>
      <c r="D32" s="26">
        <f t="shared" ref="D32:L32" si="4">SUM(D29:D31)</f>
        <v>3078.1579999999999</v>
      </c>
      <c r="E32" s="26">
        <f t="shared" si="4"/>
        <v>3346.82</v>
      </c>
      <c r="F32" s="26">
        <f t="shared" si="4"/>
        <v>3459.5699999999997</v>
      </c>
      <c r="G32" s="26">
        <f t="shared" si="4"/>
        <v>3078.85</v>
      </c>
      <c r="H32" s="26">
        <f t="shared" si="4"/>
        <v>3432.0200000000004</v>
      </c>
      <c r="I32" s="26">
        <f t="shared" si="4"/>
        <v>3651.15</v>
      </c>
      <c r="J32" s="26">
        <f t="shared" si="4"/>
        <v>3899.27</v>
      </c>
      <c r="K32" s="26">
        <f t="shared" si="4"/>
        <v>4028.5699999999997</v>
      </c>
      <c r="L32" s="26">
        <f t="shared" si="4"/>
        <v>4109.59</v>
      </c>
      <c r="M32" s="26">
        <f>SUM(M29:M31)</f>
        <v>4713.3566600000004</v>
      </c>
      <c r="N32" s="24">
        <f t="shared" si="3"/>
        <v>7.0250291525169706E-2</v>
      </c>
      <c r="O32" s="8"/>
      <c r="P32" s="8"/>
      <c r="Q32" s="8"/>
      <c r="R32" s="8"/>
    </row>
    <row r="33" spans="1:18" ht="18" customHeight="1" x14ac:dyDescent="0.2">
      <c r="A33" s="23" t="s">
        <v>115</v>
      </c>
      <c r="B33" s="26">
        <v>7996</v>
      </c>
      <c r="C33" s="26">
        <v>8883.5</v>
      </c>
      <c r="D33" s="26">
        <v>10051.07</v>
      </c>
      <c r="E33" s="26">
        <v>11197.72</v>
      </c>
      <c r="F33" s="26">
        <v>12671.29</v>
      </c>
      <c r="G33" s="26">
        <v>13151.1</v>
      </c>
      <c r="H33" s="26">
        <v>13886.77</v>
      </c>
      <c r="I33" s="26">
        <v>15031.59</v>
      </c>
      <c r="J33" s="26">
        <v>16006.46</v>
      </c>
      <c r="K33" s="26">
        <v>17223.37</v>
      </c>
      <c r="L33" s="26">
        <v>17827.23</v>
      </c>
      <c r="M33" s="26">
        <f>+Achiv_Life!M37</f>
        <v>18522.854067</v>
      </c>
      <c r="N33" s="24">
        <f t="shared" si="3"/>
        <v>7.9361266403366715E-2</v>
      </c>
      <c r="O33" s="8"/>
      <c r="P33" s="8"/>
      <c r="Q33" s="8"/>
      <c r="R33" s="8"/>
    </row>
    <row r="34" spans="1:18" ht="18" customHeight="1" x14ac:dyDescent="0.2">
      <c r="A34" s="23" t="s">
        <v>197</v>
      </c>
      <c r="B34" s="26">
        <v>7586.8</v>
      </c>
      <c r="C34" s="26">
        <v>8383.64</v>
      </c>
      <c r="D34" s="26">
        <v>7797.61</v>
      </c>
      <c r="E34" s="26">
        <v>10109.26</v>
      </c>
      <c r="F34" s="26">
        <v>10961.25</v>
      </c>
      <c r="G34" s="26">
        <v>11145.02</v>
      </c>
      <c r="H34" s="26">
        <v>12134.14</v>
      </c>
      <c r="I34" s="26">
        <v>11283.88</v>
      </c>
      <c r="J34" s="26">
        <v>11982.69</v>
      </c>
      <c r="K34" s="26">
        <v>15150.99</v>
      </c>
      <c r="L34" s="26">
        <v>7549.87</v>
      </c>
      <c r="M34" s="26">
        <f>+BS_Life!B37+BS_Life!C37</f>
        <v>13765.753388000001</v>
      </c>
      <c r="N34" s="24">
        <f t="shared" si="3"/>
        <v>5.5654834278098697E-2</v>
      </c>
      <c r="O34" s="8"/>
      <c r="P34" s="8"/>
      <c r="Q34" s="8"/>
      <c r="R34" s="8"/>
    </row>
    <row r="35" spans="1:18" ht="18" customHeight="1" x14ac:dyDescent="0.2">
      <c r="A35" s="23" t="s">
        <v>96</v>
      </c>
      <c r="B35" s="26">
        <v>9683.0400000000009</v>
      </c>
      <c r="C35" s="26">
        <v>15988</v>
      </c>
      <c r="D35" s="26">
        <v>18457.61</v>
      </c>
      <c r="E35" s="26">
        <v>13051.42</v>
      </c>
      <c r="F35" s="26">
        <v>14547.06</v>
      </c>
      <c r="G35" s="26">
        <v>14398.32</v>
      </c>
      <c r="H35" s="26">
        <v>15543.98</v>
      </c>
      <c r="I35" s="26">
        <v>16671.919999999998</v>
      </c>
      <c r="J35" s="26">
        <v>17613.05</v>
      </c>
      <c r="K35" s="26">
        <v>18855.310000000001</v>
      </c>
      <c r="L35" s="26">
        <v>19610.96</v>
      </c>
      <c r="M35" s="26">
        <f>+BS_Life!H37</f>
        <v>20306.859314000001</v>
      </c>
      <c r="N35" s="24">
        <f t="shared" si="3"/>
        <v>6.9643816553992322E-2</v>
      </c>
      <c r="O35" s="8"/>
      <c r="P35" s="8"/>
      <c r="Q35" s="8"/>
      <c r="R35" s="8"/>
    </row>
    <row r="36" spans="1:18" ht="18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8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8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8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8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5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5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5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5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5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5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5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5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5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5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5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5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5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5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5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5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5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5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5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5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5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5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5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5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5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5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5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5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5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5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5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5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5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5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5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5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5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5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5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5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5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5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5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5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5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5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5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5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5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5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5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5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5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5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5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5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5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5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5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5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5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5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</sheetData>
  <mergeCells count="1">
    <mergeCell ref="M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51" sqref="B51"/>
    </sheetView>
  </sheetViews>
  <sheetFormatPr defaultRowHeight="12.75" x14ac:dyDescent="0.2"/>
  <cols>
    <col min="1" max="1" width="48.28515625" customWidth="1"/>
    <col min="2" max="3" width="9" bestFit="1" customWidth="1"/>
    <col min="5" max="5" width="9" bestFit="1" customWidth="1"/>
    <col min="7" max="9" width="8.140625" bestFit="1" customWidth="1"/>
    <col min="11" max="11" width="9" bestFit="1" customWidth="1"/>
    <col min="14" max="14" width="6.85546875" bestFit="1" customWidth="1"/>
    <col min="18" max="18" width="8.140625" bestFit="1" customWidth="1"/>
    <col min="22" max="22" width="7.42578125" bestFit="1" customWidth="1"/>
    <col min="23" max="23" width="8.140625" bestFit="1" customWidth="1"/>
    <col min="24" max="24" width="6.85546875" bestFit="1" customWidth="1"/>
    <col min="28" max="28" width="8.7109375" customWidth="1"/>
    <col min="29" max="29" width="9" customWidth="1"/>
    <col min="30" max="30" width="9" style="34" customWidth="1"/>
    <col min="31" max="31" width="11.5703125" style="39" customWidth="1"/>
    <col min="35" max="35" width="9.7109375" customWidth="1"/>
    <col min="36" max="36" width="10.7109375" bestFit="1" customWidth="1"/>
  </cols>
  <sheetData>
    <row r="1" spans="1:36" ht="15.75" x14ac:dyDescent="0.2">
      <c r="A1" s="19" t="s">
        <v>206</v>
      </c>
    </row>
    <row r="3" spans="1:36" ht="23.25" customHeight="1" x14ac:dyDescent="0.2">
      <c r="A3" s="134" t="s">
        <v>61</v>
      </c>
      <c r="B3" s="135" t="s">
        <v>7</v>
      </c>
      <c r="C3" s="135"/>
      <c r="D3" s="135"/>
      <c r="E3" s="135"/>
      <c r="F3" s="135"/>
      <c r="G3" s="135" t="s">
        <v>9</v>
      </c>
      <c r="H3" s="135"/>
      <c r="I3" s="135"/>
      <c r="J3" s="135"/>
      <c r="K3" s="135"/>
      <c r="L3" s="135" t="s">
        <v>195</v>
      </c>
      <c r="M3" s="135"/>
      <c r="N3" s="135"/>
      <c r="O3" s="135"/>
      <c r="P3" s="135"/>
      <c r="Q3" s="135" t="s">
        <v>103</v>
      </c>
      <c r="R3" s="135"/>
      <c r="S3" s="135"/>
      <c r="T3" s="135"/>
      <c r="U3" s="135"/>
      <c r="V3" s="135" t="s">
        <v>221</v>
      </c>
      <c r="W3" s="135"/>
      <c r="X3" s="135"/>
      <c r="Y3" s="135"/>
      <c r="Z3" s="135"/>
      <c r="AA3" s="145" t="s">
        <v>222</v>
      </c>
      <c r="AB3" s="145" t="s">
        <v>211</v>
      </c>
      <c r="AC3" s="145" t="s">
        <v>212</v>
      </c>
      <c r="AD3" s="145" t="s">
        <v>213</v>
      </c>
      <c r="AE3" s="145" t="s">
        <v>223</v>
      </c>
      <c r="AF3" s="145" t="s">
        <v>214</v>
      </c>
      <c r="AG3" s="145" t="s">
        <v>24</v>
      </c>
      <c r="AH3" s="145" t="s">
        <v>215</v>
      </c>
      <c r="AI3" s="145" t="s">
        <v>216</v>
      </c>
      <c r="AJ3" s="145" t="s">
        <v>96</v>
      </c>
    </row>
    <row r="4" spans="1:36" ht="51" customHeight="1" x14ac:dyDescent="0.2">
      <c r="A4" s="134"/>
      <c r="B4" s="15" t="s">
        <v>207</v>
      </c>
      <c r="C4" s="15" t="s">
        <v>208</v>
      </c>
      <c r="D4" s="15" t="s">
        <v>209</v>
      </c>
      <c r="E4" s="15" t="s">
        <v>210</v>
      </c>
      <c r="F4" s="15" t="s">
        <v>102</v>
      </c>
      <c r="G4" s="15" t="s">
        <v>207</v>
      </c>
      <c r="H4" s="15" t="s">
        <v>208</v>
      </c>
      <c r="I4" s="15" t="s">
        <v>209</v>
      </c>
      <c r="J4" s="15" t="s">
        <v>210</v>
      </c>
      <c r="K4" s="15" t="s">
        <v>102</v>
      </c>
      <c r="L4" s="15" t="s">
        <v>207</v>
      </c>
      <c r="M4" s="15" t="s">
        <v>208</v>
      </c>
      <c r="N4" s="15" t="s">
        <v>209</v>
      </c>
      <c r="O4" s="15" t="s">
        <v>210</v>
      </c>
      <c r="P4" s="15" t="s">
        <v>102</v>
      </c>
      <c r="Q4" s="15" t="s">
        <v>207</v>
      </c>
      <c r="R4" s="15" t="s">
        <v>208</v>
      </c>
      <c r="S4" s="15" t="s">
        <v>209</v>
      </c>
      <c r="T4" s="15" t="s">
        <v>210</v>
      </c>
      <c r="U4" s="15" t="s">
        <v>102</v>
      </c>
      <c r="V4" s="15" t="s">
        <v>207</v>
      </c>
      <c r="W4" s="15" t="s">
        <v>208</v>
      </c>
      <c r="X4" s="15" t="s">
        <v>209</v>
      </c>
      <c r="Y4" s="15" t="s">
        <v>210</v>
      </c>
      <c r="Z4" s="15" t="s">
        <v>102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</row>
    <row r="5" spans="1:36" ht="20.100000000000001" customHeight="1" x14ac:dyDescent="0.2">
      <c r="A5" s="7" t="s">
        <v>124</v>
      </c>
      <c r="B5" s="6">
        <f>142079027/1000000</f>
        <v>142.079027</v>
      </c>
      <c r="C5" s="6">
        <f>132573133/1000000</f>
        <v>132.57313300000001</v>
      </c>
      <c r="D5" s="6">
        <f>62921410/1000000</f>
        <v>62.921410000000002</v>
      </c>
      <c r="E5" s="6">
        <f>34785207/1000000</f>
        <v>34.785207</v>
      </c>
      <c r="F5" s="6">
        <f t="shared" ref="F5:F49" si="0">SUM(B5:E5)</f>
        <v>372.35877699999998</v>
      </c>
      <c r="G5" s="6">
        <f>36035492/1000000</f>
        <v>36.035491999999998</v>
      </c>
      <c r="H5" s="6">
        <f>97556249/1000000</f>
        <v>97.556248999999994</v>
      </c>
      <c r="I5" s="6">
        <f>33277935/1000000</f>
        <v>33.277934999999999</v>
      </c>
      <c r="J5" s="6">
        <f>6927680/1000000</f>
        <v>6.9276799999999996</v>
      </c>
      <c r="K5" s="6">
        <f t="shared" ref="K5:K49" si="1">SUM(G5:J5)</f>
        <v>173.79735599999998</v>
      </c>
      <c r="L5" s="6">
        <f>6919532/1000000</f>
        <v>6.9195320000000002</v>
      </c>
      <c r="M5" s="6">
        <f>22634746/1000000</f>
        <v>22.634746</v>
      </c>
      <c r="N5" s="6">
        <f>11049743/1000000</f>
        <v>11.049742999999999</v>
      </c>
      <c r="O5" s="6">
        <f>14530397/1000000</f>
        <v>14.530397000000001</v>
      </c>
      <c r="P5" s="6">
        <f t="shared" ref="P5:P49" si="2">SUM(L5:O5)</f>
        <v>55.134418000000004</v>
      </c>
      <c r="Q5" s="6">
        <f>6919532/1000000</f>
        <v>6.9195320000000002</v>
      </c>
      <c r="R5" s="6">
        <f>17803325/1000000</f>
        <v>17.803325000000001</v>
      </c>
      <c r="S5" s="6">
        <f>11049743/1000000</f>
        <v>11.049742999999999</v>
      </c>
      <c r="T5" s="6">
        <f>3865102/1000000</f>
        <v>3.8651019999999998</v>
      </c>
      <c r="U5" s="6">
        <f t="shared" ref="U5:U49" si="3">SUM(Q5:T5)</f>
        <v>39.637701999999997</v>
      </c>
      <c r="V5" s="6">
        <f>4985886/1000000</f>
        <v>4.9858859999999998</v>
      </c>
      <c r="W5" s="6">
        <f>30484676/1000000</f>
        <v>30.484676</v>
      </c>
      <c r="X5" s="6">
        <f>9416988/1000000</f>
        <v>9.4169879999999999</v>
      </c>
      <c r="Y5" s="6">
        <f>2386121/1000000</f>
        <v>2.3861210000000002</v>
      </c>
      <c r="Z5" s="6">
        <f>SUM(V5:Y5)</f>
        <v>47.273671000000007</v>
      </c>
      <c r="AA5" s="6">
        <f>65541355/1000000</f>
        <v>65.541354999999996</v>
      </c>
      <c r="AB5" s="6">
        <f>16474195/1000000</f>
        <v>16.474195000000002</v>
      </c>
      <c r="AC5" s="6">
        <f>26633809/1000000</f>
        <v>26.633808999999999</v>
      </c>
      <c r="AD5" s="6">
        <f>(17000000+5000000)/1000000</f>
        <v>22</v>
      </c>
      <c r="AE5" s="6">
        <f>27462860/1000000</f>
        <v>27.462859999999999</v>
      </c>
      <c r="AF5" s="6">
        <f>27029509/1000000</f>
        <v>27.029509000000001</v>
      </c>
      <c r="AG5" s="6">
        <f>+BS_Non_Life!B5</f>
        <v>78.711186999999995</v>
      </c>
      <c r="AH5" s="6">
        <f>+BS_Non_Life!C5</f>
        <v>213.05</v>
      </c>
      <c r="AI5" s="6">
        <f>+(27190696+8015478)/1000000</f>
        <v>35.206173999999997</v>
      </c>
      <c r="AJ5" s="6">
        <f>+BS_Non_Life!H5</f>
        <v>725.88503800000001</v>
      </c>
    </row>
    <row r="6" spans="1:36" ht="20.100000000000001" customHeight="1" x14ac:dyDescent="0.2">
      <c r="A6" s="7" t="s">
        <v>125</v>
      </c>
      <c r="B6" s="6">
        <f>+(220885983+5203264)/1000000</f>
        <v>226.089247</v>
      </c>
      <c r="C6" s="6">
        <f>+(138780445+17674168+5549700+239846)/1000000</f>
        <v>162.244159</v>
      </c>
      <c r="D6" s="6">
        <f>+(43180903+2552342)/1000000</f>
        <v>45.733244999999997</v>
      </c>
      <c r="E6" s="6">
        <f>+(50638229+23304104)/1000000</f>
        <v>73.942333000000005</v>
      </c>
      <c r="F6" s="6">
        <f t="shared" si="0"/>
        <v>508.008984</v>
      </c>
      <c r="G6" s="6">
        <f>126716593/1000000</f>
        <v>126.716593</v>
      </c>
      <c r="H6" s="6">
        <f>+(120240218+1426568)/1000000</f>
        <v>121.666786</v>
      </c>
      <c r="I6" s="6">
        <f>44505676/1000000</f>
        <v>44.505676000000001</v>
      </c>
      <c r="J6" s="6">
        <f>47067990/1000000</f>
        <v>47.067990000000002</v>
      </c>
      <c r="K6" s="6">
        <f t="shared" si="1"/>
        <v>339.95704499999999</v>
      </c>
      <c r="L6" s="6">
        <f>+(90784912+172095)/1000000</f>
        <v>90.957007000000004</v>
      </c>
      <c r="M6" s="6">
        <f>+(28738556+5767543)/1000000</f>
        <v>34.506098999999999</v>
      </c>
      <c r="N6" s="6">
        <f>+(14369835+125451)/1000000</f>
        <v>14.495286</v>
      </c>
      <c r="O6" s="6">
        <f>+(2993616+10744597)/1000000</f>
        <v>13.738213</v>
      </c>
      <c r="P6" s="6">
        <f t="shared" si="2"/>
        <v>153.69660500000001</v>
      </c>
      <c r="Q6" s="6">
        <f>64051876/1000000</f>
        <v>64.051875999999993</v>
      </c>
      <c r="R6" s="6">
        <f>+(25532277+621)/1000000</f>
        <v>25.532897999999999</v>
      </c>
      <c r="S6" s="6">
        <f>14018391/1000000</f>
        <v>14.018390999999999</v>
      </c>
      <c r="T6" s="6">
        <f>3072918/1000000</f>
        <v>3.072918</v>
      </c>
      <c r="U6" s="6">
        <f t="shared" si="3"/>
        <v>106.67608299999999</v>
      </c>
      <c r="V6" s="6">
        <f>-40797/1000000</f>
        <v>-4.0797E-2</v>
      </c>
      <c r="W6" s="6">
        <f>+(38350096-352429)/1000000</f>
        <v>37.997667</v>
      </c>
      <c r="X6" s="6">
        <f>10426876/1000000</f>
        <v>10.426876</v>
      </c>
      <c r="Y6" s="6">
        <f>13179225/1000000</f>
        <v>13.179225000000001</v>
      </c>
      <c r="Z6" s="6">
        <f t="shared" ref="Z6:Z49" si="4">SUM(V6:Y6)</f>
        <v>61.562971000000005</v>
      </c>
      <c r="AA6" s="6">
        <f>117420123/1000000</f>
        <v>117.420123</v>
      </c>
      <c r="AB6" s="6">
        <f>(33947949+30726+207013)/1000000</f>
        <v>34.185687999999999</v>
      </c>
      <c r="AC6" s="6">
        <f>47069858/1000000</f>
        <v>47.069858000000004</v>
      </c>
      <c r="AD6" s="6">
        <f>(25000000+2500000+1000000)/1000000</f>
        <v>28.5</v>
      </c>
      <c r="AE6" s="6">
        <f>56525161/1000000</f>
        <v>56.525160999999997</v>
      </c>
      <c r="AF6" s="6">
        <f>+48655747/1000000</f>
        <v>48.655746999999998</v>
      </c>
      <c r="AG6" s="6">
        <f>+BS_Non_Life!B6</f>
        <v>223.59885</v>
      </c>
      <c r="AH6" s="6">
        <f>+BS_Non_Life!C6</f>
        <v>651.78421300000002</v>
      </c>
      <c r="AI6" s="6">
        <f>+(57989335+21025-754433)/1000000</f>
        <v>57.255927</v>
      </c>
      <c r="AJ6" s="6">
        <f>+BS_Non_Life!H6</f>
        <v>1546.8086919999998</v>
      </c>
    </row>
    <row r="7" spans="1:36" ht="20.100000000000001" customHeight="1" x14ac:dyDescent="0.2">
      <c r="A7" s="9" t="s">
        <v>126</v>
      </c>
      <c r="B7" s="6">
        <f>161097155/1000000</f>
        <v>161.09715499999999</v>
      </c>
      <c r="C7" s="6">
        <f>+(197510623+16379235)/1000000</f>
        <v>213.889858</v>
      </c>
      <c r="D7" s="6">
        <f>58261726/1000000</f>
        <v>58.261726000000003</v>
      </c>
      <c r="E7" s="6">
        <f>33507713/1000000</f>
        <v>33.507713000000003</v>
      </c>
      <c r="F7" s="6">
        <f t="shared" si="0"/>
        <v>466.75645200000002</v>
      </c>
      <c r="G7" s="6">
        <f>59318420/1000000</f>
        <v>59.318420000000003</v>
      </c>
      <c r="H7" s="6">
        <f>+(157379473+2432507)/1000000</f>
        <v>159.81198000000001</v>
      </c>
      <c r="I7" s="6">
        <f>55664271/1000000</f>
        <v>55.664270999999999</v>
      </c>
      <c r="J7" s="6">
        <f>4460976/1000000</f>
        <v>4.4609759999999996</v>
      </c>
      <c r="K7" s="6">
        <f t="shared" si="1"/>
        <v>279.25564700000001</v>
      </c>
      <c r="L7" s="6">
        <f>95122918/1000000</f>
        <v>95.122917999999999</v>
      </c>
      <c r="M7" s="6">
        <f>(50556363+621)/1000000</f>
        <v>50.556984</v>
      </c>
      <c r="N7" s="6">
        <f>5357720/1000000</f>
        <v>5.3577199999999996</v>
      </c>
      <c r="O7" s="6">
        <f>10758948/1000000</f>
        <v>10.758948</v>
      </c>
      <c r="P7" s="6">
        <f t="shared" si="2"/>
        <v>161.79657</v>
      </c>
      <c r="Q7" s="6">
        <f>32734320/1000000</f>
        <v>32.734319999999997</v>
      </c>
      <c r="R7" s="6">
        <f>+(43734631+621)/1000000</f>
        <v>43.735252000000003</v>
      </c>
      <c r="S7" s="6">
        <f>5357720/1000000</f>
        <v>5.3577199999999996</v>
      </c>
      <c r="T7" s="6">
        <f>33303/1000000</f>
        <v>3.3302999999999999E-2</v>
      </c>
      <c r="U7" s="6">
        <f t="shared" si="3"/>
        <v>81.860595000000004</v>
      </c>
      <c r="V7" s="6">
        <f>-27323143/1000000</f>
        <v>-27.323143000000002</v>
      </c>
      <c r="W7" s="6">
        <f>46379269/1000000</f>
        <v>46.379269000000001</v>
      </c>
      <c r="X7" s="6">
        <f>23652455/1000000</f>
        <v>23.652455</v>
      </c>
      <c r="Y7" s="6">
        <f>-2075736/1000000</f>
        <v>-2.075736</v>
      </c>
      <c r="Z7" s="6">
        <f t="shared" si="4"/>
        <v>40.632844999999996</v>
      </c>
      <c r="AA7" s="6">
        <f>111141340/1000000</f>
        <v>111.14134</v>
      </c>
      <c r="AB7" s="6">
        <f>+(14000000+2225982+3000000)/1000000</f>
        <v>19.225981999999998</v>
      </c>
      <c r="AC7" s="6">
        <v>0</v>
      </c>
      <c r="AD7" s="6">
        <f>27900000/1000000</f>
        <v>27.9</v>
      </c>
      <c r="AE7" s="6">
        <f>70204838/1000000</f>
        <v>70.204837999999995</v>
      </c>
      <c r="AF7" s="6">
        <f>91893013/1000000</f>
        <v>91.893012999999996</v>
      </c>
      <c r="AG7" s="6">
        <f>+BS_Non_Life!B7</f>
        <v>285.34832399999999</v>
      </c>
      <c r="AH7" s="6">
        <f>+BS_Non_Life!C7</f>
        <v>466.43693999999999</v>
      </c>
      <c r="AI7" s="6">
        <f>+(8695919+33499557+61009543)/1000000</f>
        <v>103.20501899999999</v>
      </c>
      <c r="AJ7" s="6">
        <f>+BS_Non_Life!H7</f>
        <v>1348.744152</v>
      </c>
    </row>
    <row r="8" spans="1:36" ht="20.100000000000001" customHeight="1" x14ac:dyDescent="0.2">
      <c r="A8" s="7" t="s">
        <v>127</v>
      </c>
      <c r="B8" s="6">
        <v>345.2</v>
      </c>
      <c r="C8" s="6">
        <v>145.28</v>
      </c>
      <c r="D8" s="6">
        <v>106.14</v>
      </c>
      <c r="E8" s="6">
        <v>134.34</v>
      </c>
      <c r="F8" s="6">
        <f t="shared" si="0"/>
        <v>730.96</v>
      </c>
      <c r="G8" s="6">
        <v>172.52</v>
      </c>
      <c r="H8" s="6">
        <v>101.49</v>
      </c>
      <c r="I8" s="6">
        <v>103.08</v>
      </c>
      <c r="J8" s="6">
        <v>77.92</v>
      </c>
      <c r="K8" s="6">
        <f t="shared" si="1"/>
        <v>455.01</v>
      </c>
      <c r="L8" s="6">
        <v>112.09</v>
      </c>
      <c r="M8" s="6">
        <v>25.38</v>
      </c>
      <c r="N8" s="6">
        <v>29.9</v>
      </c>
      <c r="O8" s="6">
        <v>25.68</v>
      </c>
      <c r="P8" s="6">
        <f t="shared" si="2"/>
        <v>193.05</v>
      </c>
      <c r="Q8" s="6">
        <v>72.81</v>
      </c>
      <c r="R8" s="6">
        <v>21.23</v>
      </c>
      <c r="S8" s="6">
        <v>32.68</v>
      </c>
      <c r="T8" s="6">
        <v>4.4800000000000004</v>
      </c>
      <c r="U8" s="6">
        <f t="shared" si="3"/>
        <v>131.19999999999999</v>
      </c>
      <c r="V8" s="6">
        <f>-31853615/1000000</f>
        <v>-31.853615000000001</v>
      </c>
      <c r="W8" s="6">
        <f>20608448/1000000</f>
        <v>20.608447999999999</v>
      </c>
      <c r="X8" s="6">
        <f>19112886/1000000</f>
        <v>19.112886</v>
      </c>
      <c r="Y8" s="6">
        <f>9613529/1000000</f>
        <v>9.6135289999999998</v>
      </c>
      <c r="Z8" s="6">
        <f t="shared" si="4"/>
        <v>17.481247999999997</v>
      </c>
      <c r="AA8" s="6">
        <f>88419803/1000000</f>
        <v>88.419803000000002</v>
      </c>
      <c r="AB8" s="6">
        <f>29000000/1000000</f>
        <v>29</v>
      </c>
      <c r="AC8" s="6">
        <f>59429981/1000000</f>
        <v>59.429980999999998</v>
      </c>
      <c r="AD8" s="6">
        <f>4500000/1000000</f>
        <v>4.5</v>
      </c>
      <c r="AE8" s="6">
        <f>55486122/1000000</f>
        <v>55.486122000000002</v>
      </c>
      <c r="AF8" s="6">
        <f>59996300/1000000</f>
        <v>59.996299999999998</v>
      </c>
      <c r="AG8" s="6">
        <f>+BS_Non_Life!B8</f>
        <v>279.07639599999999</v>
      </c>
      <c r="AH8" s="6">
        <f>+BS_Non_Life!C8</f>
        <v>623.82901100000004</v>
      </c>
      <c r="AI8" s="6">
        <f>+(48407253+10931270+39199089)/1000000</f>
        <v>98.537611999999996</v>
      </c>
      <c r="AJ8" s="6">
        <f>+BS_Non_Life!H8</f>
        <v>1716.76857</v>
      </c>
    </row>
    <row r="9" spans="1:36" ht="20.100000000000001" customHeight="1" x14ac:dyDescent="0.2">
      <c r="A9" s="7" t="s">
        <v>128</v>
      </c>
      <c r="B9" s="6">
        <f>27262116/1000000</f>
        <v>27.262115999999999</v>
      </c>
      <c r="C9" s="6">
        <f>+(66183663+2504755)/1000000</f>
        <v>68.688417999999999</v>
      </c>
      <c r="D9" s="6">
        <f>14950522/1000000</f>
        <v>14.950521999999999</v>
      </c>
      <c r="E9" s="6">
        <f>16415552/1000000</f>
        <v>16.415552000000002</v>
      </c>
      <c r="F9" s="6">
        <f t="shared" si="0"/>
        <v>127.31660800000002</v>
      </c>
      <c r="G9" s="6">
        <f>18325190/1000000</f>
        <v>18.325189999999999</v>
      </c>
      <c r="H9" s="6">
        <f>+(56609852+161434)/1000000</f>
        <v>56.771286000000003</v>
      </c>
      <c r="I9" s="6">
        <f>14795950/1000000</f>
        <v>14.795949999999999</v>
      </c>
      <c r="J9" s="6">
        <f>2351110/1000000</f>
        <v>2.3511099999999998</v>
      </c>
      <c r="K9" s="6">
        <f t="shared" si="1"/>
        <v>92.243536000000006</v>
      </c>
      <c r="L9" s="6">
        <f>1830420/1000000</f>
        <v>1.8304199999999999</v>
      </c>
      <c r="M9" s="6">
        <f>+(1759361+18313579)/1000000</f>
        <v>20.072939999999999</v>
      </c>
      <c r="N9" s="6">
        <f>472886/1000000</f>
        <v>0.47288599999999997</v>
      </c>
      <c r="O9" s="6">
        <f>41840/1000000</f>
        <v>4.1840000000000002E-2</v>
      </c>
      <c r="P9" s="6">
        <f t="shared" si="2"/>
        <v>22.418085999999999</v>
      </c>
      <c r="Q9" s="6">
        <f>1830420/1000000</f>
        <v>1.8304199999999999</v>
      </c>
      <c r="R9" s="6">
        <f>+(351518+98180)/1000000</f>
        <v>0.44969799999999999</v>
      </c>
      <c r="S9" s="6">
        <f>472886/1000000</f>
        <v>0.47288599999999997</v>
      </c>
      <c r="T9" s="6">
        <f>6856/1000000</f>
        <v>6.8560000000000001E-3</v>
      </c>
      <c r="U9" s="6">
        <f t="shared" si="3"/>
        <v>2.7598599999999998</v>
      </c>
      <c r="V9" s="6">
        <f>5766590/1000000</f>
        <v>5.7665899999999999</v>
      </c>
      <c r="W9" s="6">
        <f>3599219/1000000</f>
        <v>3.5992190000000002</v>
      </c>
      <c r="X9" s="6">
        <f>-803125/1000000</f>
        <v>-0.80312499999999998</v>
      </c>
      <c r="Y9" s="6">
        <f>-363856/1000000</f>
        <v>-0.36385600000000001</v>
      </c>
      <c r="Z9" s="6">
        <f t="shared" si="4"/>
        <v>8.1988280000000007</v>
      </c>
      <c r="AA9" s="6">
        <f>1755945/1000000</f>
        <v>1.7559450000000001</v>
      </c>
      <c r="AB9" s="6">
        <v>0</v>
      </c>
      <c r="AC9" s="6">
        <v>0</v>
      </c>
      <c r="AD9" s="6">
        <f>1700000/1000000</f>
        <v>1.7</v>
      </c>
      <c r="AE9" s="6">
        <v>0.05</v>
      </c>
      <c r="AF9" s="6">
        <f>-82935448/1000000</f>
        <v>-82.935447999999994</v>
      </c>
      <c r="AG9" s="6">
        <f>+BS_Non_Life!B9</f>
        <v>3.5110000000000001</v>
      </c>
      <c r="AH9" s="6">
        <f>+BS_Non_Life!C9</f>
        <v>19.188587999999999</v>
      </c>
      <c r="AI9" s="6">
        <f>921673/1000000</f>
        <v>0.92167299999999996</v>
      </c>
      <c r="AJ9" s="6">
        <f>+BS_Non_Life!H9</f>
        <v>128.39110199999999</v>
      </c>
    </row>
    <row r="10" spans="1:36" ht="20.100000000000001" customHeight="1" x14ac:dyDescent="0.2">
      <c r="A10" s="7" t="s">
        <v>129</v>
      </c>
      <c r="B10" s="6">
        <f>136111880/1000000</f>
        <v>136.11188000000001</v>
      </c>
      <c r="C10" s="6">
        <f>+(132438760+1670269)/1000000</f>
        <v>134.10902899999999</v>
      </c>
      <c r="D10" s="6">
        <f>111537397/1000000</f>
        <v>111.537397</v>
      </c>
      <c r="E10" s="6">
        <f>94975130/1000000</f>
        <v>94.975129999999993</v>
      </c>
      <c r="F10" s="6">
        <f t="shared" si="0"/>
        <v>476.73343599999998</v>
      </c>
      <c r="G10" s="6">
        <f>85616410/1000000</f>
        <v>85.616410000000002</v>
      </c>
      <c r="H10" s="6">
        <f>+(106243133+1567441)/1000000</f>
        <v>107.810574</v>
      </c>
      <c r="I10" s="6">
        <f>110148002/1000000</f>
        <v>110.14800200000001</v>
      </c>
      <c r="J10" s="6">
        <f>69974348/1000000</f>
        <v>69.974348000000006</v>
      </c>
      <c r="K10" s="6">
        <f>SUM(G10:J10)</f>
        <v>373.54933400000004</v>
      </c>
      <c r="L10" s="6">
        <f>42458595/1000000</f>
        <v>42.458595000000003</v>
      </c>
      <c r="M10" s="6">
        <f>+(63122420+621)/1000000</f>
        <v>63.123041000000001</v>
      </c>
      <c r="N10" s="6">
        <f>32974395/1000000</f>
        <v>32.974395000000001</v>
      </c>
      <c r="O10" s="6">
        <f>35812812/1000000</f>
        <v>35.812812000000001</v>
      </c>
      <c r="P10" s="6">
        <f t="shared" si="2"/>
        <v>174.36884300000003</v>
      </c>
      <c r="Q10" s="6">
        <f>40309587/1000000</f>
        <v>40.309587000000001</v>
      </c>
      <c r="R10" s="6">
        <f>+(58290999+621)/1000000</f>
        <v>58.291620000000002</v>
      </c>
      <c r="S10" s="6">
        <f>32974395/1000000</f>
        <v>32.974395000000001</v>
      </c>
      <c r="T10" s="6">
        <f>25147516/1000000</f>
        <v>25.147516</v>
      </c>
      <c r="U10" s="6">
        <f t="shared" si="3"/>
        <v>156.723118</v>
      </c>
      <c r="V10" s="6">
        <f>4890285/1000000</f>
        <v>4.8902850000000004</v>
      </c>
      <c r="W10" s="6">
        <f>+(30479064+374073)/1000000</f>
        <v>30.853137</v>
      </c>
      <c r="X10" s="6">
        <f>11861211/1000000</f>
        <v>11.861211000000001</v>
      </c>
      <c r="Y10" s="6">
        <f>14452773/1000000</f>
        <v>14.452773000000001</v>
      </c>
      <c r="Z10" s="6">
        <f t="shared" si="4"/>
        <v>62.057406000000007</v>
      </c>
      <c r="AA10" s="6">
        <f>94395347/1000000</f>
        <v>94.395347000000001</v>
      </c>
      <c r="AB10" s="6">
        <f>22137112/1000000</f>
        <v>22.137111999999998</v>
      </c>
      <c r="AC10" s="6">
        <f>44250000/1000000</f>
        <v>44.25</v>
      </c>
      <c r="AD10" s="6">
        <f>37354933/1000000</f>
        <v>37.354933000000003</v>
      </c>
      <c r="AE10" s="6">
        <f>80323632/1000000</f>
        <v>80.323632000000003</v>
      </c>
      <c r="AF10" s="6">
        <f>77848083/1000000</f>
        <v>77.848083000000003</v>
      </c>
      <c r="AG10" s="6">
        <f>+BS_Non_Life!B10</f>
        <v>83.728156999999996</v>
      </c>
      <c r="AH10" s="6">
        <f>+BS_Non_Life!C10</f>
        <v>853.49229500000001</v>
      </c>
      <c r="AI10" s="6">
        <f>+((57615097+1073410+2053510+1728000)-8762099)/1000000</f>
        <v>53.707917999999999</v>
      </c>
      <c r="AJ10" s="6">
        <f>+BS_Non_Life!H10</f>
        <v>1236.0016999999998</v>
      </c>
    </row>
    <row r="11" spans="1:36" ht="20.100000000000001" customHeight="1" x14ac:dyDescent="0.2">
      <c r="A11" s="7" t="s">
        <v>130</v>
      </c>
      <c r="B11" s="6">
        <f>+(143076584+4866615)/1000000</f>
        <v>147.94319899999999</v>
      </c>
      <c r="C11" s="6">
        <f>+(107167197+19822119+1382500+302299)/1000000</f>
        <v>128.674115</v>
      </c>
      <c r="D11" s="6">
        <f>+(37662770+2460545)/1000000</f>
        <v>40.123314999999998</v>
      </c>
      <c r="E11" s="6">
        <f>+(11012832+19208370)/1000000</f>
        <v>30.221202000000002</v>
      </c>
      <c r="F11" s="6">
        <f t="shared" si="0"/>
        <v>346.96183099999996</v>
      </c>
      <c r="G11" s="6">
        <f>107786556/1000000</f>
        <v>107.786556</v>
      </c>
      <c r="H11" s="6">
        <f>+(84022247+669858)/1000000</f>
        <v>84.692104999999998</v>
      </c>
      <c r="I11" s="6">
        <f>38964602/1000000</f>
        <v>38.964601999999999</v>
      </c>
      <c r="J11" s="6">
        <f>11758069/1000000</f>
        <v>11.758069000000001</v>
      </c>
      <c r="K11" s="6">
        <f t="shared" si="1"/>
        <v>243.20133200000001</v>
      </c>
      <c r="L11" s="6">
        <f>+(7544878+41273)/1000000</f>
        <v>7.5861510000000001</v>
      </c>
      <c r="M11" s="6">
        <f>+(5248429+4246565+621)/1000000</f>
        <v>9.4956150000000008</v>
      </c>
      <c r="N11" s="6">
        <f>+(4686377+75003)/1000000</f>
        <v>4.7613799999999999</v>
      </c>
      <c r="O11" s="6">
        <f>+(1317386+6644)/1000000</f>
        <v>1.32403</v>
      </c>
      <c r="P11" s="6">
        <f t="shared" si="2"/>
        <v>23.167176000000001</v>
      </c>
      <c r="Q11" s="6">
        <f>7586151/1000000</f>
        <v>7.5861510000000001</v>
      </c>
      <c r="R11" s="6">
        <f>+(6031891+621)/1000000</f>
        <v>6.0325119999999997</v>
      </c>
      <c r="S11" s="6">
        <f>4761380/1000000</f>
        <v>4.7613799999999999</v>
      </c>
      <c r="T11" s="6">
        <f>1322407/1000000</f>
        <v>1.3224070000000001</v>
      </c>
      <c r="U11" s="6">
        <f t="shared" si="3"/>
        <v>19.702449999999999</v>
      </c>
      <c r="V11" s="6">
        <f>7145228/1000000</f>
        <v>7.1452280000000004</v>
      </c>
      <c r="W11" s="6">
        <f>31789519/1000000</f>
        <v>31.789518999999999</v>
      </c>
      <c r="X11" s="6">
        <f>9387014/1000000</f>
        <v>9.3870140000000006</v>
      </c>
      <c r="Y11" s="6">
        <f>4091909/1000000</f>
        <v>4.0919090000000002</v>
      </c>
      <c r="Z11" s="6">
        <f>SUM(V11:Y11)</f>
        <v>52.413670000000003</v>
      </c>
      <c r="AA11" s="6">
        <f>111979962/1000000</f>
        <v>111.979962</v>
      </c>
      <c r="AB11" s="6">
        <f>28940906/1000000</f>
        <v>28.940905999999998</v>
      </c>
      <c r="AC11" s="6">
        <f>53809029/1000000</f>
        <v>53.809029000000002</v>
      </c>
      <c r="AD11" s="6">
        <f>24320133/1000000</f>
        <v>24.320132999999998</v>
      </c>
      <c r="AE11" s="6">
        <f>57612002/1000000</f>
        <v>57.612001999999997</v>
      </c>
      <c r="AF11" s="6">
        <f>54203108/1000000</f>
        <v>54.203108</v>
      </c>
      <c r="AG11" s="6">
        <f>+BS_Non_Life!B11</f>
        <v>224.48183299999999</v>
      </c>
      <c r="AH11" s="6">
        <f>+BS_Non_Life!C11</f>
        <v>526.45001000000002</v>
      </c>
      <c r="AI11" s="6">
        <f>+(32776573+24470791+3896665+7031432+694381)/1000000</f>
        <v>68.869842000000006</v>
      </c>
      <c r="AJ11" s="6">
        <f>+BS_Non_Life!H11</f>
        <v>1702.4959480000002</v>
      </c>
    </row>
    <row r="12" spans="1:36" ht="20.100000000000001" customHeight="1" x14ac:dyDescent="0.2">
      <c r="A12" s="7" t="s">
        <v>131</v>
      </c>
      <c r="B12" s="6">
        <f>159384335/1000000</f>
        <v>159.38433499999999</v>
      </c>
      <c r="C12" s="6">
        <f>+(205747579+4053753)/1000000</f>
        <v>209.801332</v>
      </c>
      <c r="D12" s="6">
        <f>33534977/1000000</f>
        <v>33.534976999999998</v>
      </c>
      <c r="E12" s="6">
        <f>32099523/1000000</f>
        <v>32.099522999999998</v>
      </c>
      <c r="F12" s="6">
        <f t="shared" si="0"/>
        <v>434.82016699999997</v>
      </c>
      <c r="G12" s="6">
        <f>100729804/1000000</f>
        <v>100.729804</v>
      </c>
      <c r="H12" s="6">
        <f>+(159002975+2572807)/1000000</f>
        <v>161.575782</v>
      </c>
      <c r="I12" s="6">
        <f>30995533/1000000</f>
        <v>30.995532999999998</v>
      </c>
      <c r="J12" s="6">
        <f>6272726/1000000</f>
        <v>6.2727259999999996</v>
      </c>
      <c r="K12" s="6">
        <f t="shared" si="1"/>
        <v>299.57384500000001</v>
      </c>
      <c r="L12" s="6">
        <f>5044019/1000000</f>
        <v>5.0440189999999996</v>
      </c>
      <c r="M12" s="6">
        <f>+(18947786+2122210)/1000000</f>
        <v>21.069996</v>
      </c>
      <c r="N12" s="6">
        <f>1390254/1000000</f>
        <v>1.3902540000000001</v>
      </c>
      <c r="O12" s="6">
        <f>11129536/1000000</f>
        <v>11.129536</v>
      </c>
      <c r="P12" s="6">
        <f>SUM(L12:O12)</f>
        <v>38.633804999999995</v>
      </c>
      <c r="Q12" s="6">
        <f>4044019/1000000</f>
        <v>4.0440189999999996</v>
      </c>
      <c r="R12" s="6">
        <f>+(4873998+101932)/1000000</f>
        <v>4.97593</v>
      </c>
      <c r="S12" s="6">
        <f>1390254/1000000</f>
        <v>1.3902540000000001</v>
      </c>
      <c r="T12" s="6">
        <f>464241/1000000</f>
        <v>0.46424100000000001</v>
      </c>
      <c r="U12" s="6">
        <f t="shared" si="3"/>
        <v>10.874444</v>
      </c>
      <c r="V12" s="6">
        <f>5978768/1000000</f>
        <v>5.9787679999999996</v>
      </c>
      <c r="W12" s="6">
        <f>(29675319-1552293)/1000000</f>
        <v>28.123025999999999</v>
      </c>
      <c r="X12" s="6">
        <f>5967578/1000000</f>
        <v>5.9675779999999996</v>
      </c>
      <c r="Y12" s="6">
        <f>3362637/1000000</f>
        <v>3.3626369999999999</v>
      </c>
      <c r="Z12" s="6">
        <f t="shared" si="4"/>
        <v>43.432009000000001</v>
      </c>
      <c r="AA12" s="6">
        <f>88925202/1000000</f>
        <v>88.925201999999999</v>
      </c>
      <c r="AB12" s="6">
        <f>2000000/1000000</f>
        <v>2</v>
      </c>
      <c r="AC12" s="6">
        <f>61969202/1000000</f>
        <v>61.969202000000003</v>
      </c>
      <c r="AD12" s="6">
        <f>198038237/1000000</f>
        <v>198.03823700000001</v>
      </c>
      <c r="AE12" s="6">
        <f>68350381/1000000</f>
        <v>68.350380999999999</v>
      </c>
      <c r="AF12" s="6">
        <f>72894381/1000000</f>
        <v>72.894380999999996</v>
      </c>
      <c r="AG12" s="6">
        <f>+BS_Non_Life!B12</f>
        <v>174.11246499999999</v>
      </c>
      <c r="AH12" s="6">
        <f>+BS_Non_Life!C12</f>
        <v>555.92149199999994</v>
      </c>
      <c r="AI12" s="6">
        <f>58840281/1000000</f>
        <v>58.840280999999997</v>
      </c>
      <c r="AJ12" s="6">
        <f>+BS_Non_Life!H12</f>
        <v>1242.1950509999997</v>
      </c>
    </row>
    <row r="13" spans="1:36" ht="20.100000000000001" customHeight="1" x14ac:dyDescent="0.2">
      <c r="A13" s="7" t="s">
        <v>132</v>
      </c>
      <c r="B13" s="6">
        <f>+(307212729+5203264)/1000000</f>
        <v>312.41599300000001</v>
      </c>
      <c r="C13" s="6">
        <f>+(116251452+17914014)/1000000</f>
        <v>134.16546600000001</v>
      </c>
      <c r="D13" s="6">
        <f>+(56708204+2552342)/1000000</f>
        <v>59.260545999999998</v>
      </c>
      <c r="E13" s="6">
        <f>+(61419736+23304104)/1000000</f>
        <v>84.723839999999996</v>
      </c>
      <c r="F13" s="6">
        <f t="shared" si="0"/>
        <v>590.56584499999997</v>
      </c>
      <c r="G13" s="6">
        <f>141115148/1000000</f>
        <v>141.115148</v>
      </c>
      <c r="H13" s="6">
        <f>68597327/1000000</f>
        <v>68.597327000000007</v>
      </c>
      <c r="I13" s="6">
        <f>55084386/1000000</f>
        <v>55.084386000000002</v>
      </c>
      <c r="J13" s="6">
        <f>34765382/1000000</f>
        <v>34.765382000000002</v>
      </c>
      <c r="K13" s="6">
        <f t="shared" si="1"/>
        <v>299.56224300000002</v>
      </c>
      <c r="L13" s="6">
        <f>+(13552005+172094)/1000000</f>
        <v>13.724099000000001</v>
      </c>
      <c r="M13" s="6">
        <f>+(5323324+5768164)/1000000</f>
        <v>11.091488</v>
      </c>
      <c r="N13" s="6">
        <f>+(9321262+125451)/1000000</f>
        <v>9.4467130000000008</v>
      </c>
      <c r="O13" s="6">
        <f>10744597/1000000</f>
        <v>10.744597000000001</v>
      </c>
      <c r="P13" s="6">
        <f t="shared" si="2"/>
        <v>45.006897000000002</v>
      </c>
      <c r="Q13" s="6">
        <f>11868430/1000000</f>
        <v>11.86843</v>
      </c>
      <c r="R13" s="6">
        <f>2817215/1000000</f>
        <v>2.817215</v>
      </c>
      <c r="S13" s="6">
        <f>9446713/1000000</f>
        <v>9.4467130000000008</v>
      </c>
      <c r="T13" s="6">
        <f>79302/1000000</f>
        <v>7.9301999999999997E-2</v>
      </c>
      <c r="U13" s="6">
        <f t="shared" si="3"/>
        <v>24.211660000000002</v>
      </c>
      <c r="V13" s="6">
        <f>33027197/1000000</f>
        <v>33.027197000000001</v>
      </c>
      <c r="W13" s="6">
        <f>+(26777821+587287)/1000000</f>
        <v>27.365107999999999</v>
      </c>
      <c r="X13" s="6">
        <f>22834912/1000000</f>
        <v>22.834911999999999</v>
      </c>
      <c r="Y13" s="6">
        <f>14836983/1000000</f>
        <v>14.836983</v>
      </c>
      <c r="Z13" s="6">
        <f t="shared" si="4"/>
        <v>98.0642</v>
      </c>
      <c r="AA13" s="6">
        <f>82316535/1000000</f>
        <v>82.316535000000002</v>
      </c>
      <c r="AB13" s="6">
        <f>18837272/1000000</f>
        <v>18.837271999999999</v>
      </c>
      <c r="AC13" s="6">
        <f>32912302/1000000</f>
        <v>32.912301999999997</v>
      </c>
      <c r="AD13" s="6">
        <f>29919209/1000000</f>
        <v>29.919208999999999</v>
      </c>
      <c r="AE13" s="6">
        <f>42535649/1000000</f>
        <v>42.535648999999999</v>
      </c>
      <c r="AF13" s="6">
        <f>41914494/1000000</f>
        <v>41.914493999999998</v>
      </c>
      <c r="AG13" s="6">
        <f>+BS_Non_Life!B13</f>
        <v>68.094283000000004</v>
      </c>
      <c r="AH13" s="6">
        <f>+BS_Non_Life!C13</f>
        <v>356.36622499999999</v>
      </c>
      <c r="AI13" s="6">
        <f>32173179/1000000</f>
        <v>32.173178999999998</v>
      </c>
      <c r="AJ13" s="6">
        <f>+BS_Non_Life!H13</f>
        <v>1083.1510989999999</v>
      </c>
    </row>
    <row r="14" spans="1:36" ht="20.100000000000001" customHeight="1" x14ac:dyDescent="0.2">
      <c r="A14" s="7" t="s">
        <v>133</v>
      </c>
      <c r="B14" s="6">
        <f>162221861/1000000</f>
        <v>162.22186099999999</v>
      </c>
      <c r="C14" s="6">
        <f>+(168750148+3265877)/1000000</f>
        <v>172.01602500000001</v>
      </c>
      <c r="D14" s="6">
        <f>38377980/1000000</f>
        <v>38.377980000000001</v>
      </c>
      <c r="E14" s="6">
        <f>36045827/1000000</f>
        <v>36.045827000000003</v>
      </c>
      <c r="F14" s="6">
        <f t="shared" si="0"/>
        <v>408.66169300000001</v>
      </c>
      <c r="G14" s="6">
        <f>123006936/1000000</f>
        <v>123.006936</v>
      </c>
      <c r="H14" s="6">
        <f>+(122281876+2627049)/1000000</f>
        <v>124.908925</v>
      </c>
      <c r="I14" s="6">
        <f>38146598/1000000</f>
        <v>38.146597999999997</v>
      </c>
      <c r="J14" s="6">
        <f>11450503/1000000</f>
        <v>11.450502999999999</v>
      </c>
      <c r="K14" s="6">
        <f t="shared" si="1"/>
        <v>297.51296200000002</v>
      </c>
      <c r="L14" s="6">
        <f>66049849/1000000</f>
        <v>66.049848999999995</v>
      </c>
      <c r="M14" s="6">
        <f>+(18224394+621)/1000000</f>
        <v>18.225014999999999</v>
      </c>
      <c r="N14" s="6">
        <f>8682656/1000000</f>
        <v>8.6826559999999997</v>
      </c>
      <c r="O14" s="6">
        <f>11783179/1000000</f>
        <v>11.783179000000001</v>
      </c>
      <c r="P14" s="6">
        <f t="shared" si="2"/>
        <v>104.74069899999999</v>
      </c>
      <c r="Q14" s="6">
        <f>58925592/1000000</f>
        <v>58.925592000000002</v>
      </c>
      <c r="R14" s="6">
        <f>+(164483+621)/1000000</f>
        <v>0.165104</v>
      </c>
      <c r="S14" s="6">
        <f>8682656/1000000</f>
        <v>8.6826559999999997</v>
      </c>
      <c r="T14" s="6">
        <f>1117884/1000000</f>
        <v>1.1178840000000001</v>
      </c>
      <c r="U14" s="6">
        <f t="shared" si="3"/>
        <v>68.891236000000006</v>
      </c>
      <c r="V14" s="6">
        <f>-13373328/1000000</f>
        <v>-13.373328000000001</v>
      </c>
      <c r="W14" s="6">
        <f>61878146/1000000</f>
        <v>61.878146000000001</v>
      </c>
      <c r="X14" s="6">
        <f>14322865/1000000</f>
        <v>14.322865</v>
      </c>
      <c r="Y14" s="6">
        <f>10394290/1000000</f>
        <v>10.39429</v>
      </c>
      <c r="Z14" s="6">
        <f t="shared" si="4"/>
        <v>73.221973000000006</v>
      </c>
      <c r="AA14" s="6">
        <f>54567640/1000000</f>
        <v>54.567639999999997</v>
      </c>
      <c r="AB14" s="6">
        <f>4795169/1000000</f>
        <v>4.7951689999999996</v>
      </c>
      <c r="AC14" s="6">
        <f>+(30000000+7200000)/1000000</f>
        <v>37.200000000000003</v>
      </c>
      <c r="AD14" s="6">
        <f>+(40866169+500000)/1000000</f>
        <v>41.366168999999999</v>
      </c>
      <c r="AE14" s="6">
        <f>11765050/1000000</f>
        <v>11.76505</v>
      </c>
      <c r="AF14" s="6">
        <f>40558748/1000000</f>
        <v>40.558748000000001</v>
      </c>
      <c r="AG14" s="6">
        <f>+BS_Non_Life!B14</f>
        <v>102.708163</v>
      </c>
      <c r="AH14" s="6">
        <f>+BS_Non_Life!C14</f>
        <v>311.39999999999998</v>
      </c>
      <c r="AI14" s="6">
        <f>+(18061968+3709118)/1000000</f>
        <v>21.771086</v>
      </c>
      <c r="AJ14" s="6">
        <f>+BS_Non_Life!H14</f>
        <v>879.72494099999994</v>
      </c>
    </row>
    <row r="15" spans="1:36" ht="20.100000000000001" customHeight="1" x14ac:dyDescent="0.2">
      <c r="A15" s="7" t="s">
        <v>134</v>
      </c>
      <c r="B15" s="6">
        <f>+(94264675+5203265)/1000000</f>
        <v>99.467939999999999</v>
      </c>
      <c r="C15" s="6">
        <f>+(125049287+23174392)/1000000</f>
        <v>148.223679</v>
      </c>
      <c r="D15" s="6">
        <f>+(17541216+2552342)/1000000</f>
        <v>20.093558000000002</v>
      </c>
      <c r="E15" s="6">
        <f>+(14443470+17947898)/1000000</f>
        <v>32.391368</v>
      </c>
      <c r="F15" s="6">
        <f t="shared" si="0"/>
        <v>300.17654499999998</v>
      </c>
      <c r="G15" s="6">
        <f>+(63309747+1028852)/1000000</f>
        <v>64.338599000000002</v>
      </c>
      <c r="H15" s="6">
        <f>+(99755406+4350276)/1000000</f>
        <v>104.105682</v>
      </c>
      <c r="I15" s="6">
        <f>+(13625730+2489710)/1000000</f>
        <v>16.11544</v>
      </c>
      <c r="J15" s="6">
        <f>+(7891692+906310)/1000000</f>
        <v>8.7980020000000003</v>
      </c>
      <c r="K15" s="6">
        <f t="shared" si="1"/>
        <v>193.35772299999999</v>
      </c>
      <c r="L15" s="6">
        <f>+(2152674+174132)/1000000</f>
        <v>2.3268059999999999</v>
      </c>
      <c r="M15" s="6">
        <f>+(952739+16461856)/1000000</f>
        <v>17.414594999999998</v>
      </c>
      <c r="N15" s="6">
        <f>+(791223+127834)/1000000</f>
        <v>0.91905700000000001</v>
      </c>
      <c r="O15" s="6">
        <f>+(104200+46485)/1000000</f>
        <v>0.15068500000000001</v>
      </c>
      <c r="P15" s="6">
        <f t="shared" si="2"/>
        <v>20.811142999999998</v>
      </c>
      <c r="Q15" s="6">
        <f>+(1939035+174132)/1000000</f>
        <v>2.1131669999999998</v>
      </c>
      <c r="R15" s="6">
        <f>+(832050+1001732)/1000000</f>
        <v>1.833782</v>
      </c>
      <c r="S15" s="6">
        <f>+(791223+127834)/1000000</f>
        <v>0.91905700000000001</v>
      </c>
      <c r="T15" s="6">
        <f>+(104200+9893)/1000000</f>
        <v>0.114093</v>
      </c>
      <c r="U15" s="6">
        <f t="shared" si="3"/>
        <v>4.9800990000000009</v>
      </c>
      <c r="V15" s="6">
        <f>27738090/1000000</f>
        <v>27.73809</v>
      </c>
      <c r="W15" s="6">
        <f>38424595/1000000</f>
        <v>38.424594999999997</v>
      </c>
      <c r="X15" s="6">
        <f>6028890/1000000</f>
        <v>6.0288899999999996</v>
      </c>
      <c r="Y15" s="6">
        <f>-721907/1000000</f>
        <v>-0.72190699999999997</v>
      </c>
      <c r="Z15" s="6">
        <f t="shared" si="4"/>
        <v>71.469667999999999</v>
      </c>
      <c r="AA15" s="6">
        <f>116183507/1000000</f>
        <v>116.18350700000001</v>
      </c>
      <c r="AB15" s="6">
        <f>40700000/1000000</f>
        <v>40.700000000000003</v>
      </c>
      <c r="AC15" s="6">
        <f>48150000/1000000</f>
        <v>48.15</v>
      </c>
      <c r="AD15" s="6">
        <f>+(19335772+193136940+16763425)/1000000</f>
        <v>229.23613700000001</v>
      </c>
      <c r="AE15" s="6">
        <f>77479409/1000000</f>
        <v>77.479409000000004</v>
      </c>
      <c r="AF15" s="6">
        <f>99822993/1000000</f>
        <v>99.822992999999997</v>
      </c>
      <c r="AG15" s="6">
        <f>+BS_Non_Life!B15</f>
        <v>108.324583</v>
      </c>
      <c r="AH15" s="6">
        <f>+BS_Non_Life!C15</f>
        <v>620.00396000000001</v>
      </c>
      <c r="AI15" s="6">
        <f>7587978/1000000</f>
        <v>7.5879779999999997</v>
      </c>
      <c r="AJ15" s="6">
        <f>+BS_Non_Life!H15</f>
        <v>1916.29105</v>
      </c>
    </row>
    <row r="16" spans="1:36" ht="20.100000000000001" customHeight="1" x14ac:dyDescent="0.2">
      <c r="A16" s="7" t="s">
        <v>135</v>
      </c>
      <c r="B16" s="6">
        <f>67099955/1000000</f>
        <v>67.099954999999994</v>
      </c>
      <c r="C16" s="6">
        <f>(42737784+475046)/1000000</f>
        <v>43.212829999999997</v>
      </c>
      <c r="D16" s="6">
        <f>23242039/1000000</f>
        <v>23.242038999999998</v>
      </c>
      <c r="E16" s="6">
        <f>27505643/1000000</f>
        <v>27.505642999999999</v>
      </c>
      <c r="F16" s="6">
        <f t="shared" si="0"/>
        <v>161.06046699999999</v>
      </c>
      <c r="G16" s="6">
        <f>32460744/1000000</f>
        <v>32.460743999999998</v>
      </c>
      <c r="H16" s="6">
        <f>+(28294658+372218)/1000000</f>
        <v>28.666875999999998</v>
      </c>
      <c r="I16" s="6">
        <f>23032407/1000000</f>
        <v>23.032406999999999</v>
      </c>
      <c r="J16" s="6">
        <f>5398136/1000000</f>
        <v>5.398136</v>
      </c>
      <c r="K16" s="6">
        <f t="shared" si="1"/>
        <v>89.558162999999979</v>
      </c>
      <c r="L16" s="6">
        <f>1388970/1000000</f>
        <v>1.38897</v>
      </c>
      <c r="M16" s="6">
        <f>+(6591577+621)/1000000</f>
        <v>6.5921979999999998</v>
      </c>
      <c r="N16" s="6">
        <f>873696/1000000</f>
        <v>0.87369600000000003</v>
      </c>
      <c r="O16" s="6">
        <f>10744597/1000000</f>
        <v>10.744597000000001</v>
      </c>
      <c r="P16" s="6">
        <f t="shared" si="2"/>
        <v>19.599461000000002</v>
      </c>
      <c r="Q16" s="6">
        <f>+-2095365/1000000</f>
        <v>-2.0953650000000001</v>
      </c>
      <c r="R16" s="6">
        <f>+(1760156+621)/1000000</f>
        <v>1.760777</v>
      </c>
      <c r="S16" s="6">
        <f>873696/1000000</f>
        <v>0.87369600000000003</v>
      </c>
      <c r="T16" s="6">
        <f>79302/1000000</f>
        <v>7.9301999999999997E-2</v>
      </c>
      <c r="U16" s="6">
        <f t="shared" si="3"/>
        <v>0.6184099999999999</v>
      </c>
      <c r="V16" s="6">
        <f>23535550/1000000</f>
        <v>23.535550000000001</v>
      </c>
      <c r="W16" s="6">
        <f>+(17859491-56944)/1000000</f>
        <v>17.802547000000001</v>
      </c>
      <c r="X16" s="6">
        <f>8325355/1000000</f>
        <v>8.3253550000000001</v>
      </c>
      <c r="Y16" s="6">
        <f>-236285/1000000</f>
        <v>-0.236285</v>
      </c>
      <c r="Z16" s="6">
        <f t="shared" si="4"/>
        <v>49.427167000000004</v>
      </c>
      <c r="AA16" s="6">
        <f>41110467/1000000</f>
        <v>41.110467</v>
      </c>
      <c r="AB16" s="6">
        <f>+(18444187+3671680)/1000000</f>
        <v>22.115867000000001</v>
      </c>
      <c r="AC16" s="6">
        <f>11242339/1000000</f>
        <v>11.242338999999999</v>
      </c>
      <c r="AD16" s="6">
        <f>-5000000/1000000</f>
        <v>-5</v>
      </c>
      <c r="AE16" s="6">
        <f>25564523/1000000</f>
        <v>25.564523000000001</v>
      </c>
      <c r="AF16" s="6">
        <f>12812262/1000000</f>
        <v>12.812262</v>
      </c>
      <c r="AG16" s="6">
        <f>+BS_Non_Life!B16</f>
        <v>25</v>
      </c>
      <c r="AH16" s="6">
        <f>+BS_Non_Life!C16</f>
        <v>215.4</v>
      </c>
      <c r="AI16" s="6">
        <f>11290236/1000000</f>
        <v>11.290236</v>
      </c>
      <c r="AJ16" s="6">
        <f>+BS_Non_Life!H16</f>
        <v>526.86421800000005</v>
      </c>
    </row>
    <row r="17" spans="1:36" ht="20.100000000000001" customHeight="1" x14ac:dyDescent="0.2">
      <c r="A17" s="7" t="s">
        <v>136</v>
      </c>
      <c r="B17" s="6">
        <f>+(165790699+5210011)/1000000</f>
        <v>171.00071</v>
      </c>
      <c r="C17" s="6">
        <f>+(117073667+9119675+17699910+167200)/1000000</f>
        <v>144.060452</v>
      </c>
      <c r="D17" s="6">
        <f>+(65846665+2556599)/1000000</f>
        <v>68.403263999999993</v>
      </c>
      <c r="E17" s="6">
        <f>+(12062984+23340003)/1000000</f>
        <v>35.402987000000003</v>
      </c>
      <c r="F17" s="6">
        <f t="shared" si="0"/>
        <v>418.86741299999994</v>
      </c>
      <c r="G17" s="6">
        <f>+(54726929+1035599)/1000000</f>
        <v>55.762528000000003</v>
      </c>
      <c r="H17" s="6">
        <f>+(80684392+3143125+4168820+64372)/1000000</f>
        <v>88.060709000000003</v>
      </c>
      <c r="I17" s="6">
        <f>+(61236460+2493966)/1000000</f>
        <v>63.730426000000001</v>
      </c>
      <c r="J17" s="6">
        <f>+(1982350+1108217)/1000000</f>
        <v>3.0905670000000001</v>
      </c>
      <c r="K17" s="6">
        <f t="shared" si="1"/>
        <v>210.64422999999999</v>
      </c>
      <c r="L17" s="6">
        <f>+(32568904+173341)/1000000</f>
        <v>32.742244999999997</v>
      </c>
      <c r="M17" s="6">
        <f>+(7720273+5714310+674)/1000000</f>
        <v>13.435257</v>
      </c>
      <c r="N17" s="6">
        <f>+(19844141+129857)/1000000</f>
        <v>19.973998000000002</v>
      </c>
      <c r="O17" s="6">
        <f>+(0+10800068)/1000000</f>
        <v>10.800068</v>
      </c>
      <c r="P17" s="6">
        <f t="shared" si="2"/>
        <v>76.951567999999995</v>
      </c>
      <c r="Q17" s="6">
        <f>+(27148057+173341)/1000000</f>
        <v>27.321397999999999</v>
      </c>
      <c r="R17" s="6">
        <f>+(5194239+924565+674)/1000000</f>
        <v>6.119478</v>
      </c>
      <c r="S17" s="6">
        <f>+(17593786+129857)/1000000</f>
        <v>17.723642999999999</v>
      </c>
      <c r="T17" s="6">
        <f>+(0+93097)/1000000</f>
        <v>9.3096999999999999E-2</v>
      </c>
      <c r="U17" s="6">
        <f t="shared" si="3"/>
        <v>51.257615999999999</v>
      </c>
      <c r="V17" s="6">
        <f>14452523/1000000</f>
        <v>14.452522999999999</v>
      </c>
      <c r="W17" s="6">
        <f>41869225/1000000</f>
        <v>41.869225</v>
      </c>
      <c r="X17" s="6">
        <f>20013178/1000000</f>
        <v>20.013178</v>
      </c>
      <c r="Y17" s="6">
        <f>-587785/1000000</f>
        <v>-0.587785</v>
      </c>
      <c r="Z17" s="6">
        <f t="shared" si="4"/>
        <v>75.747140999999999</v>
      </c>
      <c r="AA17" s="6">
        <f>190964676/1000000</f>
        <v>190.964676</v>
      </c>
      <c r="AB17" s="6">
        <f>41500000/1000000</f>
        <v>41.5</v>
      </c>
      <c r="AC17" s="6">
        <v>0</v>
      </c>
      <c r="AD17" s="6">
        <f>41886741/1000000</f>
        <v>41.886741000000001</v>
      </c>
      <c r="AE17" s="6">
        <f>86776312/1000000</f>
        <v>86.776312000000004</v>
      </c>
      <c r="AF17" s="6">
        <f>3274466/1000000</f>
        <v>3.2744659999999999</v>
      </c>
      <c r="AG17" s="6">
        <f>+BS_Non_Life!B17</f>
        <v>606.75562400000001</v>
      </c>
      <c r="AH17" s="6">
        <f>+BS_Non_Life!C17</f>
        <v>1130.0999999999999</v>
      </c>
      <c r="AI17" s="6">
        <f>+(84936012+39423497)/1000000</f>
        <v>124.359509</v>
      </c>
      <c r="AJ17" s="6">
        <f>+BS_Non_Life!H17</f>
        <v>2152.3064629999999</v>
      </c>
    </row>
    <row r="18" spans="1:36" ht="20.100000000000001" customHeight="1" x14ac:dyDescent="0.2">
      <c r="A18" s="7" t="s">
        <v>137</v>
      </c>
      <c r="B18" s="6">
        <f>+(432908704+5859593)/1000000</f>
        <v>438.76829700000002</v>
      </c>
      <c r="C18" s="6">
        <f>+(390107324+5265194+24075081+302516)/1000000</f>
        <v>419.75011499999999</v>
      </c>
      <c r="D18" s="6">
        <f>+(102327013+2925470)/1000000</f>
        <v>105.252483</v>
      </c>
      <c r="E18" s="6">
        <f>+(45790162+22572386)/1000000</f>
        <v>68.362548000000004</v>
      </c>
      <c r="F18" s="6">
        <f t="shared" si="0"/>
        <v>1032.1334429999999</v>
      </c>
      <c r="G18" s="6">
        <f>+(72402765+1331775)/1000000</f>
        <v>73.734539999999996</v>
      </c>
      <c r="H18" s="6">
        <f>+(266787601+858591+5198892+63629)/1000000</f>
        <v>272.90871299999998</v>
      </c>
      <c r="I18" s="6">
        <f>+(97212829+2862838)/1000000</f>
        <v>100.075667</v>
      </c>
      <c r="J18" s="6">
        <f>+(8888833+1488915)/1000000</f>
        <v>10.377748</v>
      </c>
      <c r="K18" s="6">
        <f t="shared" si="1"/>
        <v>457.09666799999997</v>
      </c>
      <c r="L18" s="6">
        <f>+(182135476+42129)/1000000</f>
        <v>182.177605</v>
      </c>
      <c r="M18" s="6">
        <f>+(10976477+540000+4611991+621)/1000000</f>
        <v>16.129089</v>
      </c>
      <c r="N18" s="6">
        <f>+(23747291+136315)/1000000</f>
        <v>23.883606</v>
      </c>
      <c r="O18" s="6">
        <f>+(11360173+22225)/1000000</f>
        <v>11.382398</v>
      </c>
      <c r="P18" s="6">
        <f t="shared" si="2"/>
        <v>233.57269799999997</v>
      </c>
      <c r="Q18" s="6">
        <f>+(53135856+42129)/1000000</f>
        <v>53.177985</v>
      </c>
      <c r="R18" s="6">
        <f>+(3704139+119826+814540+621)/1000000</f>
        <v>4.6391260000000001</v>
      </c>
      <c r="S18" s="6">
        <f>+(19422128+136315)/1000000</f>
        <v>19.558443</v>
      </c>
      <c r="T18" s="6">
        <f>+(4908663+20602)/1000000</f>
        <v>4.929265</v>
      </c>
      <c r="U18" s="6">
        <f t="shared" si="3"/>
        <v>82.304818999999995</v>
      </c>
      <c r="V18" s="6">
        <f>-84170079/1000000</f>
        <v>-84.170079000000001</v>
      </c>
      <c r="W18" s="6">
        <f>122900870/1000000</f>
        <v>122.90087</v>
      </c>
      <c r="X18" s="6">
        <f>37925021/1000000</f>
        <v>37.925021000000001</v>
      </c>
      <c r="Y18" s="6">
        <f>-7529073/1000000</f>
        <v>-7.5290730000000003</v>
      </c>
      <c r="Z18" s="6">
        <f t="shared" si="4"/>
        <v>69.126739000000001</v>
      </c>
      <c r="AA18" s="6">
        <f>162215451/1000000</f>
        <v>162.215451</v>
      </c>
      <c r="AB18" s="6">
        <f>+(13086000-105000)/1000000</f>
        <v>12.981</v>
      </c>
      <c r="AC18" s="6">
        <f>98161028/1000000</f>
        <v>98.161028000000002</v>
      </c>
      <c r="AD18" s="6">
        <f>45590000/1000000</f>
        <v>45.59</v>
      </c>
      <c r="AE18" s="6">
        <f>103804662/1000000</f>
        <v>103.80466199999999</v>
      </c>
      <c r="AF18" s="6">
        <f>98321239/1000000</f>
        <v>98.321239000000006</v>
      </c>
      <c r="AG18" s="6">
        <f>+BS_Non_Life!B18</f>
        <v>566.17908999999997</v>
      </c>
      <c r="AH18" s="6">
        <f>+BS_Non_Life!C18</f>
        <v>489.23233699999997</v>
      </c>
      <c r="AI18" s="6">
        <f>+(48253012+97937179)/1000000</f>
        <v>146.190191</v>
      </c>
      <c r="AJ18" s="6">
        <f>+BS_Non_Life!H18</f>
        <v>2481.7738469999999</v>
      </c>
    </row>
    <row r="19" spans="1:36" ht="20.100000000000001" customHeight="1" x14ac:dyDescent="0.2">
      <c r="A19" s="7" t="s">
        <v>138</v>
      </c>
      <c r="B19" s="6">
        <f>134301625/1000000</f>
        <v>134.301625</v>
      </c>
      <c r="C19" s="6">
        <f>+(141437768+1224018)/1000000</f>
        <v>142.66178600000001</v>
      </c>
      <c r="D19" s="6">
        <f>90522930/1000000</f>
        <v>90.522930000000002</v>
      </c>
      <c r="E19" s="6">
        <f>33170320/1000000</f>
        <v>33.170319999999997</v>
      </c>
      <c r="F19" s="6">
        <f t="shared" si="0"/>
        <v>400.65666100000004</v>
      </c>
      <c r="G19" s="6">
        <f>52755299/1000000</f>
        <v>52.755299000000001</v>
      </c>
      <c r="H19" s="6">
        <f>+(102708123+1121191)/1000000</f>
        <v>103.829314</v>
      </c>
      <c r="I19" s="6">
        <f>89785298/1000000</f>
        <v>89.785297999999997</v>
      </c>
      <c r="J19" s="6">
        <f>5920109/1000000</f>
        <v>5.9201090000000001</v>
      </c>
      <c r="K19" s="6">
        <f t="shared" si="1"/>
        <v>252.29002</v>
      </c>
      <c r="L19" s="6">
        <f>12875699/1000000</f>
        <v>12.875698999999999</v>
      </c>
      <c r="M19" s="6">
        <f>+(17400930+621)/1000000</f>
        <v>17.401551000000001</v>
      </c>
      <c r="N19" s="6">
        <f>15355745/1000000</f>
        <v>15.355745000000001</v>
      </c>
      <c r="O19" s="6">
        <f>10744598/1000000</f>
        <v>10.744598</v>
      </c>
      <c r="P19" s="6">
        <f t="shared" si="2"/>
        <v>56.377593000000005</v>
      </c>
      <c r="Q19" s="6">
        <f>-2290539/1000000</f>
        <v>-2.2905389999999999</v>
      </c>
      <c r="R19" s="6">
        <f>+(6285798+621)/1000000</f>
        <v>6.2864190000000004</v>
      </c>
      <c r="S19" s="6">
        <f>15355745/1000000</f>
        <v>15.355745000000001</v>
      </c>
      <c r="T19" s="6">
        <f>79303/1000000</f>
        <v>7.9302999999999998E-2</v>
      </c>
      <c r="U19" s="6">
        <f t="shared" si="3"/>
        <v>19.430928000000002</v>
      </c>
      <c r="V19" s="6">
        <f>-7459411/1000000</f>
        <v>-7.4594110000000002</v>
      </c>
      <c r="W19" s="6">
        <f>38399801/1000000</f>
        <v>38.399800999999997</v>
      </c>
      <c r="X19" s="6">
        <f>14840070/1000000</f>
        <v>14.840070000000001</v>
      </c>
      <c r="Y19" s="6">
        <f>-4768436/1000000</f>
        <v>-4.7684360000000003</v>
      </c>
      <c r="Z19" s="6">
        <f t="shared" si="4"/>
        <v>41.012023999999997</v>
      </c>
      <c r="AA19" s="6">
        <f>70242874/1000000</f>
        <v>70.242874</v>
      </c>
      <c r="AB19" s="6">
        <f>20131746/1000000</f>
        <v>20.131746</v>
      </c>
      <c r="AC19" s="6">
        <v>0</v>
      </c>
      <c r="AD19" s="6">
        <f>5000000/1000000</f>
        <v>5</v>
      </c>
      <c r="AE19" s="6">
        <f>86024083/1000000</f>
        <v>86.024083000000005</v>
      </c>
      <c r="AF19" s="6">
        <f>44257854/1000000</f>
        <v>44.257854000000002</v>
      </c>
      <c r="AG19" s="6">
        <f>+BS_Non_Life!B19</f>
        <v>65.581496000000001</v>
      </c>
      <c r="AH19" s="6">
        <f>+BS_Non_Life!C19</f>
        <v>491.71214500000002</v>
      </c>
      <c r="AI19" s="6">
        <f>+(33929311+6847229+4915986)/1000000</f>
        <v>45.692526000000001</v>
      </c>
      <c r="AJ19" s="6">
        <f>+BS_Non_Life!H19</f>
        <v>1087.2473420000001</v>
      </c>
    </row>
    <row r="20" spans="1:36" ht="20.100000000000001" customHeight="1" x14ac:dyDescent="0.2">
      <c r="A20" s="7" t="s">
        <v>139</v>
      </c>
      <c r="B20" s="6">
        <f>170322169/1000000</f>
        <v>170.322169</v>
      </c>
      <c r="C20" s="6">
        <f>160602379/1000000</f>
        <v>160.60237900000001</v>
      </c>
      <c r="D20" s="6">
        <f>69422844/1000000</f>
        <v>69.422843999999998</v>
      </c>
      <c r="E20" s="6">
        <f>41377559/1000000</f>
        <v>41.377558999999998</v>
      </c>
      <c r="F20" s="6">
        <f t="shared" si="0"/>
        <v>441.72495100000003</v>
      </c>
      <c r="G20" s="6">
        <f>56107223/1000000</f>
        <v>56.107222999999998</v>
      </c>
      <c r="H20" s="6">
        <f>110591100/1000000</f>
        <v>110.5911</v>
      </c>
      <c r="I20" s="6">
        <f>67021709/1000000</f>
        <v>67.021709000000001</v>
      </c>
      <c r="J20" s="6">
        <f>17363425/1000000</f>
        <v>17.363424999999999</v>
      </c>
      <c r="K20" s="6">
        <f t="shared" si="1"/>
        <v>251.08345700000001</v>
      </c>
      <c r="L20" s="6">
        <f>284862308/1000000</f>
        <v>284.86230799999998</v>
      </c>
      <c r="M20" s="6">
        <f>28879207/1000000</f>
        <v>28.879207000000001</v>
      </c>
      <c r="N20" s="6">
        <f>13755603/1000000</f>
        <v>13.755603000000001</v>
      </c>
      <c r="O20" s="6">
        <f>12154469/1000000</f>
        <v>12.154469000000001</v>
      </c>
      <c r="P20" s="6">
        <f t="shared" si="2"/>
        <v>339.65158700000001</v>
      </c>
      <c r="Q20" s="6">
        <f>-23230517/1000000</f>
        <v>-23.230516999999999</v>
      </c>
      <c r="R20" s="6">
        <f>15105861/1000000</f>
        <v>15.105861000000001</v>
      </c>
      <c r="S20" s="6">
        <f>13755603/1000000</f>
        <v>13.755603000000001</v>
      </c>
      <c r="T20" s="6">
        <f>1497364/1000000</f>
        <v>1.4973639999999999</v>
      </c>
      <c r="U20" s="6">
        <f t="shared" si="3"/>
        <v>7.1283110000000027</v>
      </c>
      <c r="V20" s="6">
        <f>29972432/1000000</f>
        <v>29.972432000000001</v>
      </c>
      <c r="W20" s="6">
        <f>47156500/1000000</f>
        <v>47.156500000000001</v>
      </c>
      <c r="X20" s="6">
        <f>16681446/1000000</f>
        <v>16.681446000000001</v>
      </c>
      <c r="Y20" s="6">
        <f>7164960/1000000</f>
        <v>7.1649599999999998</v>
      </c>
      <c r="Z20" s="6">
        <f t="shared" si="4"/>
        <v>100.97533800000001</v>
      </c>
      <c r="AA20" s="6">
        <f>56397721/1000000</f>
        <v>56.397720999999997</v>
      </c>
      <c r="AB20" s="6">
        <f>20600000/1000000</f>
        <v>20.6</v>
      </c>
      <c r="AC20" s="6">
        <v>0</v>
      </c>
      <c r="AD20" s="6">
        <f>5000000/1000000</f>
        <v>5</v>
      </c>
      <c r="AE20" s="6">
        <f>315108/1000000</f>
        <v>0.315108</v>
      </c>
      <c r="AF20" s="6">
        <f>200737/1000000</f>
        <v>0.200737</v>
      </c>
      <c r="AG20" s="6">
        <f>+BS_Non_Life!B20</f>
        <v>60.041345</v>
      </c>
      <c r="AH20" s="6">
        <f>+BS_Non_Life!C20</f>
        <v>113.699011</v>
      </c>
      <c r="AI20" s="6">
        <f>+(12518127+285750)/1000000</f>
        <v>12.803877</v>
      </c>
      <c r="AJ20" s="6">
        <f>+BS_Non_Life!H20</f>
        <v>1317.5947799999999</v>
      </c>
    </row>
    <row r="21" spans="1:36" ht="20.100000000000001" customHeight="1" x14ac:dyDescent="0.2">
      <c r="A21" s="7" t="s">
        <v>140</v>
      </c>
      <c r="B21" s="6">
        <f>1553015178/1000000</f>
        <v>1553.0151780000001</v>
      </c>
      <c r="C21" s="6">
        <f>1123250841/1000000</f>
        <v>1123.250841</v>
      </c>
      <c r="D21" s="6">
        <f>194929620/1000000</f>
        <v>194.92962</v>
      </c>
      <c r="E21" s="6">
        <f>420800797/1000000</f>
        <v>420.80079699999999</v>
      </c>
      <c r="F21" s="6">
        <f t="shared" si="0"/>
        <v>3291.9964359999999</v>
      </c>
      <c r="G21" s="6">
        <f>401090822/1000000</f>
        <v>401.090822</v>
      </c>
      <c r="H21" s="6">
        <f>845226674/1000000</f>
        <v>845.226674</v>
      </c>
      <c r="I21" s="6">
        <f>175895052/1000000</f>
        <v>175.89505199999999</v>
      </c>
      <c r="J21" s="6">
        <f>102145113/1000000</f>
        <v>102.14511299999999</v>
      </c>
      <c r="K21" s="6">
        <f t="shared" si="1"/>
        <v>1524.3576610000002</v>
      </c>
      <c r="L21" s="6">
        <f>458550319/1000000</f>
        <v>458.550319</v>
      </c>
      <c r="M21" s="6">
        <f>217761734/1000000</f>
        <v>217.76173399999999</v>
      </c>
      <c r="N21" s="6">
        <f>36108650/1000000</f>
        <v>36.108649999999997</v>
      </c>
      <c r="O21" s="6">
        <f>71609969/1000000</f>
        <v>71.609969000000007</v>
      </c>
      <c r="P21" s="6">
        <f t="shared" si="2"/>
        <v>784.03067199999998</v>
      </c>
      <c r="Q21" s="6">
        <f>105087173/1000000</f>
        <v>105.08717300000001</v>
      </c>
      <c r="R21" s="6">
        <f>163619068/1000000</f>
        <v>163.619068</v>
      </c>
      <c r="S21" s="6">
        <f>36108650/1000000</f>
        <v>36.108649999999997</v>
      </c>
      <c r="T21" s="6">
        <f>66341950/1000000</f>
        <v>66.341949999999997</v>
      </c>
      <c r="U21" s="6">
        <f t="shared" si="3"/>
        <v>371.15684099999999</v>
      </c>
      <c r="V21" s="6">
        <f>145817050/1000000</f>
        <v>145.81704999999999</v>
      </c>
      <c r="W21" s="6">
        <f>177439871/1000000</f>
        <v>177.43987100000001</v>
      </c>
      <c r="X21" s="6">
        <f>48096325/1000000</f>
        <v>48.096325</v>
      </c>
      <c r="Y21" s="6">
        <f>28611600/1000000</f>
        <v>28.611599999999999</v>
      </c>
      <c r="Z21" s="6">
        <f t="shared" si="4"/>
        <v>399.96484600000002</v>
      </c>
      <c r="AA21" s="6">
        <f>307786669/1000000</f>
        <v>307.78666900000002</v>
      </c>
      <c r="AB21" s="6">
        <f>+(45000000+19681640)/1000000</f>
        <v>64.681640000000002</v>
      </c>
      <c r="AC21" s="6">
        <f>161382374/1000000</f>
        <v>161.382374</v>
      </c>
      <c r="AD21" s="6">
        <f>(76217883+687048920-21177366)/1000000</f>
        <v>742.08943699999998</v>
      </c>
      <c r="AE21" s="6">
        <f>206289188/1000000</f>
        <v>206.289188</v>
      </c>
      <c r="AF21" s="6">
        <f>77255089/1000000</f>
        <v>77.255088999999998</v>
      </c>
      <c r="AG21" s="6">
        <f>+BS_Non_Life!B21</f>
        <v>4210.1065200000003</v>
      </c>
      <c r="AH21" s="6">
        <f>+BS_Non_Life!C21</f>
        <v>948.03101400000003</v>
      </c>
      <c r="AI21" s="6">
        <f>208942722/1000000</f>
        <v>208.942722</v>
      </c>
      <c r="AJ21" s="6">
        <f>+BS_Non_Life!H21</f>
        <v>9843.8518820000008</v>
      </c>
    </row>
    <row r="22" spans="1:36" ht="20.100000000000001" customHeight="1" x14ac:dyDescent="0.2">
      <c r="A22" s="7" t="s">
        <v>141</v>
      </c>
      <c r="B22" s="6">
        <f>68285522/1000000</f>
        <v>68.285522</v>
      </c>
      <c r="C22" s="6">
        <f>104846770/1000000</f>
        <v>104.84677000000001</v>
      </c>
      <c r="D22" s="6">
        <f>18816968/1000000</f>
        <v>18.816967999999999</v>
      </c>
      <c r="E22" s="6">
        <f>42168996/1000000</f>
        <v>42.168996</v>
      </c>
      <c r="F22" s="6">
        <f t="shared" si="0"/>
        <v>234.118256</v>
      </c>
      <c r="G22" s="6">
        <f>19225522/1000000</f>
        <v>19.225522000000002</v>
      </c>
      <c r="H22" s="6">
        <f>65869257/1000000</f>
        <v>65.869257000000005</v>
      </c>
      <c r="I22" s="6">
        <f>14173225/1000000</f>
        <v>14.173225</v>
      </c>
      <c r="J22" s="6">
        <f>10654293/1000000</f>
        <v>10.654292999999999</v>
      </c>
      <c r="K22" s="6">
        <f t="shared" si="1"/>
        <v>109.922297</v>
      </c>
      <c r="L22" s="6">
        <f>1477371/1000000</f>
        <v>1.477371</v>
      </c>
      <c r="M22" s="6">
        <f>11958136/1000000</f>
        <v>11.958136</v>
      </c>
      <c r="N22" s="6">
        <f>2180852/1000000</f>
        <v>2.1808519999999998</v>
      </c>
      <c r="O22" s="6">
        <f>10761597/1000000</f>
        <v>10.761597</v>
      </c>
      <c r="P22" s="6">
        <f t="shared" si="2"/>
        <v>26.377955999999998</v>
      </c>
      <c r="Q22" s="6">
        <f>1286048/1000000</f>
        <v>1.2860480000000001</v>
      </c>
      <c r="R22" s="6">
        <f>6845277/1000000</f>
        <v>6.8452770000000003</v>
      </c>
      <c r="S22" s="6">
        <f>1795961/1000000</f>
        <v>1.7959609999999999</v>
      </c>
      <c r="T22" s="6">
        <f>97562/1000000</f>
        <v>9.7561999999999996E-2</v>
      </c>
      <c r="U22" s="6">
        <f t="shared" si="3"/>
        <v>10.024848</v>
      </c>
      <c r="V22" s="6">
        <f>-5564018/1000000</f>
        <v>-5.5640179999999999</v>
      </c>
      <c r="W22" s="6">
        <f>20597177/1000000</f>
        <v>20.597176999999999</v>
      </c>
      <c r="X22" s="6">
        <f>625222/1000000</f>
        <v>0.62522200000000006</v>
      </c>
      <c r="Y22" s="6">
        <f>729355/1000000</f>
        <v>0.72935499999999998</v>
      </c>
      <c r="Z22" s="6">
        <f t="shared" si="4"/>
        <v>16.387735999999997</v>
      </c>
      <c r="AA22" s="6">
        <f>24649666/1000000</f>
        <v>24.649666</v>
      </c>
      <c r="AB22" s="6">
        <f>9653370/1000000</f>
        <v>9.6533700000000007</v>
      </c>
      <c r="AC22" s="6">
        <v>0</v>
      </c>
      <c r="AD22" s="6">
        <f>+(67137972-75058592)/1000000</f>
        <v>-7.9206200000000004</v>
      </c>
      <c r="AE22" s="6">
        <f>18002560/1000000</f>
        <v>18.002559999999999</v>
      </c>
      <c r="AF22" s="6">
        <f>3006264/1000000</f>
        <v>3.0062639999999998</v>
      </c>
      <c r="AG22" s="6">
        <f>+BS_Non_Life!B22</f>
        <v>63.206381999999998</v>
      </c>
      <c r="AH22" s="6">
        <f>+BS_Non_Life!C22</f>
        <v>206.55</v>
      </c>
      <c r="AI22" s="6">
        <f>23803250/1000000</f>
        <v>23.803249999999998</v>
      </c>
      <c r="AJ22" s="6">
        <f>+BS_Non_Life!H22</f>
        <v>715.43605300000002</v>
      </c>
    </row>
    <row r="23" spans="1:36" ht="20.100000000000001" customHeight="1" x14ac:dyDescent="0.2">
      <c r="A23" s="7" t="s">
        <v>142</v>
      </c>
      <c r="B23" s="6">
        <f>+(146498427+4501381)/1000000</f>
        <v>150.999808</v>
      </c>
      <c r="C23" s="6">
        <f>+(170427752+1444986+18295460+282444)/1000000</f>
        <v>190.45064199999999</v>
      </c>
      <c r="D23" s="6">
        <f>+(57273042+2272551)/1000000</f>
        <v>59.545592999999997</v>
      </c>
      <c r="E23" s="6">
        <f>+(9508369+17767352)/1000000</f>
        <v>27.275721000000001</v>
      </c>
      <c r="F23" s="6">
        <f t="shared" si="0"/>
        <v>428.27176399999996</v>
      </c>
      <c r="G23" s="6">
        <f>+(62163858+648512)/1000000</f>
        <v>62.812370000000001</v>
      </c>
      <c r="H23" s="6">
        <f>+(142139109+438192+2915025+72503)/1000000</f>
        <v>145.564829</v>
      </c>
      <c r="I23" s="6">
        <f>+(54793980+2107650)/1000000</f>
        <v>56.901629999999997</v>
      </c>
      <c r="J23" s="6">
        <f>+(3173802-195594)/1000000</f>
        <v>2.978208</v>
      </c>
      <c r="K23" s="6">
        <f t="shared" si="1"/>
        <v>268.25703700000003</v>
      </c>
      <c r="L23" s="6">
        <f>+(36737828+39984)/1000000</f>
        <v>36.777811999999997</v>
      </c>
      <c r="M23" s="6">
        <f>+(10602717+13045+4221994+621)/1000000</f>
        <v>14.838376999999999</v>
      </c>
      <c r="N23" s="6">
        <f>+(8217058+75003)/1000000</f>
        <v>8.2920610000000003</v>
      </c>
      <c r="O23" s="6">
        <f>+(0+6360)/1000000</f>
        <v>6.3600000000000002E-3</v>
      </c>
      <c r="P23" s="6">
        <f t="shared" si="2"/>
        <v>59.914609999999996</v>
      </c>
      <c r="Q23" s="6">
        <f>+(36737828+39984)/1000000</f>
        <v>36.777811999999997</v>
      </c>
      <c r="R23" s="6">
        <f>+(10602717+13045+760595+621)/1000000</f>
        <v>11.376977999999999</v>
      </c>
      <c r="S23" s="6">
        <f>+(8217058+75003)/1000000</f>
        <v>8.2920610000000003</v>
      </c>
      <c r="T23" s="6">
        <f>+(0+4737)/1000000</f>
        <v>4.7369999999999999E-3</v>
      </c>
      <c r="U23" s="6">
        <f t="shared" si="3"/>
        <v>56.451587999999994</v>
      </c>
      <c r="V23" s="6">
        <f>9283409/1000000</f>
        <v>9.2834090000000007</v>
      </c>
      <c r="W23" s="6">
        <f>47644289/1000000</f>
        <v>47.644289000000001</v>
      </c>
      <c r="X23" s="6">
        <f>14480414/1000000</f>
        <v>14.480414</v>
      </c>
      <c r="Y23" s="6">
        <f>-1895262/1000000</f>
        <v>-1.895262</v>
      </c>
      <c r="Z23" s="6">
        <f t="shared" si="4"/>
        <v>69.51285</v>
      </c>
      <c r="AA23" s="6">
        <f>71074642/1000000</f>
        <v>71.074641999999997</v>
      </c>
      <c r="AB23" s="6">
        <f>22347600/1000000</f>
        <v>22.3476</v>
      </c>
      <c r="AC23" s="6">
        <f>30857904/1000000</f>
        <v>30.857904000000001</v>
      </c>
      <c r="AD23" s="6">
        <f>14550000/1000000</f>
        <v>14.55</v>
      </c>
      <c r="AE23" s="6">
        <f>35219812/1000000</f>
        <v>35.219811999999997</v>
      </c>
      <c r="AF23" s="6">
        <f>31900674/1000000</f>
        <v>31.900673999999999</v>
      </c>
      <c r="AG23" s="6">
        <f>+BS_Non_Life!B23</f>
        <v>29.869865999999998</v>
      </c>
      <c r="AH23" s="6">
        <f>+BS_Non_Life!C23</f>
        <v>374.9</v>
      </c>
      <c r="AI23" s="6">
        <f>+(20134844+609646)/1000000</f>
        <v>20.744489999999999</v>
      </c>
      <c r="AJ23" s="6">
        <f>+BS_Non_Life!H23</f>
        <v>961.94651399999987</v>
      </c>
    </row>
    <row r="24" spans="1:36" ht="20.100000000000001" customHeight="1" x14ac:dyDescent="0.2">
      <c r="A24" s="7" t="s">
        <v>143</v>
      </c>
      <c r="B24" s="6">
        <f>199817738/1000000</f>
        <v>199.81773799999999</v>
      </c>
      <c r="C24" s="6">
        <f>122342690/1000000</f>
        <v>122.34269</v>
      </c>
      <c r="D24" s="6">
        <f>48528350/1000000</f>
        <v>48.528350000000003</v>
      </c>
      <c r="E24" s="6">
        <f>39523329/1000000</f>
        <v>39.523328999999997</v>
      </c>
      <c r="F24" s="6">
        <f t="shared" si="0"/>
        <v>410.212107</v>
      </c>
      <c r="G24" s="6">
        <f>74772592/1000000</f>
        <v>74.772592000000003</v>
      </c>
      <c r="H24" s="6">
        <f>100741328/1000000</f>
        <v>100.741328</v>
      </c>
      <c r="I24" s="6">
        <f>47029229/1000000</f>
        <v>47.029229000000001</v>
      </c>
      <c r="J24" s="6">
        <f>18106133/1000000</f>
        <v>18.106133</v>
      </c>
      <c r="K24" s="6">
        <f t="shared" si="1"/>
        <v>240.64928199999997</v>
      </c>
      <c r="L24" s="6">
        <f>13138703/1000000</f>
        <v>13.138703</v>
      </c>
      <c r="M24" s="6">
        <f>3499013/1000000</f>
        <v>3.4990130000000002</v>
      </c>
      <c r="N24" s="6">
        <f>21610700/1000000</f>
        <v>21.610700000000001</v>
      </c>
      <c r="O24" s="6">
        <f>140292/1000000</f>
        <v>0.140292</v>
      </c>
      <c r="P24" s="6">
        <f t="shared" si="2"/>
        <v>38.388708000000008</v>
      </c>
      <c r="Q24" s="6">
        <f>12204879/1000000</f>
        <v>12.204879</v>
      </c>
      <c r="R24" s="6">
        <f>2272957/1000000</f>
        <v>2.2729569999999999</v>
      </c>
      <c r="S24" s="6">
        <f>21610700/1000000</f>
        <v>21.610700000000001</v>
      </c>
      <c r="T24" s="6">
        <f>28492/1000000</f>
        <v>2.8492E-2</v>
      </c>
      <c r="U24" s="6">
        <f t="shared" si="3"/>
        <v>36.117028000000005</v>
      </c>
      <c r="V24" s="6">
        <f>-9536543/1000000</f>
        <v>-9.536543</v>
      </c>
      <c r="W24" s="6">
        <f>10632182/1000000</f>
        <v>10.632182</v>
      </c>
      <c r="X24" s="6">
        <f>609817/1000000</f>
        <v>0.60981700000000005</v>
      </c>
      <c r="Y24" s="6">
        <f>9254518/1000000</f>
        <v>9.2545179999999991</v>
      </c>
      <c r="Z24" s="6">
        <f t="shared" si="4"/>
        <v>10.959973999999999</v>
      </c>
      <c r="AA24" s="6">
        <f>59893092/1000000</f>
        <v>59.893092000000003</v>
      </c>
      <c r="AB24" s="6">
        <f>7565315/1000000</f>
        <v>7.565315</v>
      </c>
      <c r="AC24" s="6">
        <v>0</v>
      </c>
      <c r="AD24" s="6">
        <f>15000000/1000000</f>
        <v>15</v>
      </c>
      <c r="AE24" s="6">
        <f>45114496/1000000</f>
        <v>45.114496000000003</v>
      </c>
      <c r="AF24" s="6">
        <f>30747439/1000000</f>
        <v>30.747439</v>
      </c>
      <c r="AG24" s="6">
        <f>+BS_Non_Life!B24</f>
        <v>140.809462</v>
      </c>
      <c r="AH24" s="6">
        <f>+BS_Non_Life!C24</f>
        <v>312.5</v>
      </c>
      <c r="AI24" s="6">
        <f>+(28868263+7199155+35428459)/1000000</f>
        <v>71.495876999999993</v>
      </c>
      <c r="AJ24" s="6">
        <f>+BS_Non_Life!H24</f>
        <v>879.79238999999995</v>
      </c>
    </row>
    <row r="25" spans="1:36" ht="20.100000000000001" customHeight="1" x14ac:dyDescent="0.2">
      <c r="A25" s="7" t="s">
        <v>144</v>
      </c>
      <c r="B25" s="6">
        <f>112743426/1000000</f>
        <v>112.743426</v>
      </c>
      <c r="C25" s="6">
        <f>+(117514879+1903750)/1000000</f>
        <v>119.418629</v>
      </c>
      <c r="D25" s="6">
        <f>19080598/1000000</f>
        <v>19.080597999999998</v>
      </c>
      <c r="E25" s="6">
        <f>19962431/1000000</f>
        <v>19.962430999999999</v>
      </c>
      <c r="F25" s="6">
        <f t="shared" si="0"/>
        <v>271.205084</v>
      </c>
      <c r="G25" s="6">
        <f>57993894/1000000</f>
        <v>57.993893999999997</v>
      </c>
      <c r="H25" s="6">
        <f>+(87874430+1903750)/1000000</f>
        <v>89.778180000000006</v>
      </c>
      <c r="I25" s="6">
        <f>19080598/1000000</f>
        <v>19.080597999999998</v>
      </c>
      <c r="J25" s="6">
        <f>10432431/1000000</f>
        <v>10.432430999999999</v>
      </c>
      <c r="K25" s="6">
        <f t="shared" si="1"/>
        <v>177.28510300000002</v>
      </c>
      <c r="L25" s="6">
        <f>53093558/1000000</f>
        <v>53.093558000000002</v>
      </c>
      <c r="M25" s="6">
        <f>+(19651912)/1000000</f>
        <v>19.651911999999999</v>
      </c>
      <c r="N25" s="6">
        <f>13514662/1000000</f>
        <v>13.514662</v>
      </c>
      <c r="O25" s="6">
        <f>28929115/1000000</f>
        <v>28.929114999999999</v>
      </c>
      <c r="P25" s="6">
        <f t="shared" si="2"/>
        <v>115.18924699999999</v>
      </c>
      <c r="Q25" s="6">
        <f>25091645/1000000</f>
        <v>25.091645</v>
      </c>
      <c r="R25" s="6">
        <f>19651912/1000000</f>
        <v>19.651911999999999</v>
      </c>
      <c r="S25" s="6">
        <f>13514662/1000000</f>
        <v>13.514662</v>
      </c>
      <c r="T25" s="6">
        <f>20103415/1000000</f>
        <v>20.103414999999998</v>
      </c>
      <c r="U25" s="6">
        <f t="shared" si="3"/>
        <v>78.361633999999995</v>
      </c>
      <c r="V25" s="6">
        <f>24552248/1000000</f>
        <v>24.552247999999999</v>
      </c>
      <c r="W25" s="6">
        <f>27214093/1000000</f>
        <v>27.214092999999998</v>
      </c>
      <c r="X25" s="6">
        <f>5242051/1000000</f>
        <v>5.242051</v>
      </c>
      <c r="Y25" s="6">
        <f>-11817345/1000000</f>
        <v>-11.817345</v>
      </c>
      <c r="Z25" s="6">
        <f t="shared" si="4"/>
        <v>45.191046999999998</v>
      </c>
      <c r="AA25" s="6">
        <f>31604759/1000000</f>
        <v>31.604759000000001</v>
      </c>
      <c r="AB25" s="6">
        <f>10793478/1000000</f>
        <v>10.793478</v>
      </c>
      <c r="AC25" s="6">
        <v>0</v>
      </c>
      <c r="AD25" s="6">
        <v>0</v>
      </c>
      <c r="AE25" s="6">
        <f>31319186/1000000</f>
        <v>31.319185999999998</v>
      </c>
      <c r="AF25" s="6">
        <f>12069203/1000000</f>
        <v>12.069203</v>
      </c>
      <c r="AG25" s="6">
        <f>+BS_Non_Life!B25</f>
        <v>25.420945</v>
      </c>
      <c r="AH25" s="6">
        <f>+BS_Non_Life!C25</f>
        <v>261.35224699999998</v>
      </c>
      <c r="AI25" s="6">
        <f>+(18401267+16119+18894+200)/1000000</f>
        <v>18.43648</v>
      </c>
      <c r="AJ25" s="6">
        <f>+BS_Non_Life!H25</f>
        <v>893.73588400000006</v>
      </c>
    </row>
    <row r="26" spans="1:36" ht="20.100000000000001" customHeight="1" x14ac:dyDescent="0.2">
      <c r="A26" s="7" t="s">
        <v>145</v>
      </c>
      <c r="B26" s="6">
        <f>+(131609969+5203264)/1000000</f>
        <v>136.813233</v>
      </c>
      <c r="C26" s="6">
        <f>+(70503616+17914014)/1000000</f>
        <v>88.417630000000003</v>
      </c>
      <c r="D26" s="6">
        <f>+(18032308+2552342)/1000000</f>
        <v>20.58465</v>
      </c>
      <c r="E26" s="6">
        <f>+(37032575+23304103)/1000000</f>
        <v>60.336677999999999</v>
      </c>
      <c r="F26" s="6">
        <f t="shared" si="0"/>
        <v>306.15219100000002</v>
      </c>
      <c r="G26" s="6">
        <f>59889000/1000000</f>
        <v>59.889000000000003</v>
      </c>
      <c r="H26" s="6">
        <f>61793891/1000000</f>
        <v>61.793891000000002</v>
      </c>
      <c r="I26" s="6">
        <f>17728065/1000000</f>
        <v>17.728065000000001</v>
      </c>
      <c r="J26" s="6">
        <f>26169441/1000000</f>
        <v>26.169440999999999</v>
      </c>
      <c r="K26" s="6">
        <f t="shared" si="1"/>
        <v>165.580397</v>
      </c>
      <c r="L26" s="6">
        <f>42586972/1000000</f>
        <v>42.586972000000003</v>
      </c>
      <c r="M26" s="6">
        <f>5252450/1000000</f>
        <v>5.2524499999999996</v>
      </c>
      <c r="N26" s="6">
        <f>3720810/1000000</f>
        <v>3.7208100000000002</v>
      </c>
      <c r="O26" s="6">
        <f>497797/1000000</f>
        <v>0.49779699999999999</v>
      </c>
      <c r="P26" s="6">
        <f t="shared" si="2"/>
        <v>52.058028999999998</v>
      </c>
      <c r="Q26" s="6">
        <f>7285070/1000000</f>
        <v>7.2850700000000002</v>
      </c>
      <c r="R26" s="6">
        <f>-424164/1000000</f>
        <v>-0.42416399999999999</v>
      </c>
      <c r="S26" s="6">
        <f>3720810/1000000</f>
        <v>3.7208100000000002</v>
      </c>
      <c r="T26" s="6">
        <f>-1066528/1000000</f>
        <v>-1.0665279999999999</v>
      </c>
      <c r="U26" s="6">
        <f t="shared" si="3"/>
        <v>9.5151880000000002</v>
      </c>
      <c r="V26" s="6">
        <f>5075657/1000000</f>
        <v>5.0756569999999996</v>
      </c>
      <c r="W26" s="6">
        <f>26150336/1000000</f>
        <v>26.150335999999999</v>
      </c>
      <c r="X26" s="6">
        <f>4987796/1000000</f>
        <v>4.9877960000000003</v>
      </c>
      <c r="Y26" s="6">
        <f>9456676/1000000</f>
        <v>9.4566759999999999</v>
      </c>
      <c r="Z26" s="6">
        <f t="shared" si="4"/>
        <v>45.670465</v>
      </c>
      <c r="AA26" s="6">
        <f>87066481/1000000</f>
        <v>87.066480999999996</v>
      </c>
      <c r="AB26" s="6">
        <f>25800000/1000000</f>
        <v>25.8</v>
      </c>
      <c r="AC26" s="6">
        <f>24422375/1000000</f>
        <v>24.422374999999999</v>
      </c>
      <c r="AD26" s="6">
        <f>15600000/1000000</f>
        <v>15.6</v>
      </c>
      <c r="AE26" s="6">
        <f>46070850/1000000</f>
        <v>46.07085</v>
      </c>
      <c r="AF26" s="6">
        <f>41108328/1000000</f>
        <v>41.108328</v>
      </c>
      <c r="AG26" s="6">
        <f>+BS_Non_Life!B26</f>
        <v>141.61494400000001</v>
      </c>
      <c r="AH26" s="6">
        <f>+BS_Non_Life!C26</f>
        <v>585.41582400000004</v>
      </c>
      <c r="AI26" s="6">
        <f>+(45879438+5337040+1247514+5830026)/1000000</f>
        <v>58.294018000000001</v>
      </c>
      <c r="AJ26" s="6">
        <f>+BS_Non_Life!H26</f>
        <v>1307.5593690000001</v>
      </c>
    </row>
    <row r="27" spans="1:36" ht="20.100000000000001" customHeight="1" x14ac:dyDescent="0.2">
      <c r="A27" s="7" t="s">
        <v>146</v>
      </c>
      <c r="B27" s="6">
        <f>222864029/1000000</f>
        <v>222.86402899999999</v>
      </c>
      <c r="C27" s="6">
        <f>128136848/1000000</f>
        <v>128.13684799999999</v>
      </c>
      <c r="D27" s="6">
        <f>32612907/1000000</f>
        <v>32.612907</v>
      </c>
      <c r="E27" s="6">
        <f>28724250/1000000</f>
        <v>28.724250000000001</v>
      </c>
      <c r="F27" s="6">
        <f t="shared" si="0"/>
        <v>412.33803399999994</v>
      </c>
      <c r="G27" s="6">
        <f>117659603/1000000</f>
        <v>117.659603</v>
      </c>
      <c r="H27" s="6">
        <f>92424791/1000000</f>
        <v>92.424790999999999</v>
      </c>
      <c r="I27" s="6">
        <f>25294196/1000000</f>
        <v>25.294195999999999</v>
      </c>
      <c r="J27" s="6">
        <f>4772051/1000000</f>
        <v>4.7720510000000003</v>
      </c>
      <c r="K27" s="6">
        <f t="shared" si="1"/>
        <v>240.15064100000001</v>
      </c>
      <c r="L27" s="6">
        <f>3319370/1000000</f>
        <v>3.3193700000000002</v>
      </c>
      <c r="M27" s="6">
        <f>10258492/1000000</f>
        <v>10.258492</v>
      </c>
      <c r="N27" s="6">
        <f>14320364/1000000</f>
        <v>14.320364</v>
      </c>
      <c r="O27" s="6">
        <f>10748706/1000000</f>
        <v>10.748706</v>
      </c>
      <c r="P27" s="6">
        <f t="shared" si="2"/>
        <v>38.646932</v>
      </c>
      <c r="Q27" s="6">
        <f>-3097564/1000000</f>
        <v>-3.0975640000000002</v>
      </c>
      <c r="R27" s="6">
        <f>4544489/1000000</f>
        <v>4.5444889999999996</v>
      </c>
      <c r="S27" s="6">
        <f>14320364/1000000</f>
        <v>14.320364</v>
      </c>
      <c r="T27" s="6">
        <f>91600/1000000</f>
        <v>9.1600000000000001E-2</v>
      </c>
      <c r="U27" s="6">
        <f t="shared" si="3"/>
        <v>15.858888999999998</v>
      </c>
      <c r="V27" s="6">
        <f>18139451/1000000</f>
        <v>18.139451000000001</v>
      </c>
      <c r="W27" s="6">
        <f>+(24213328+123694)/1000000</f>
        <v>24.337022000000001</v>
      </c>
      <c r="X27" s="6">
        <f>-9114761/1000000</f>
        <v>-9.1147609999999997</v>
      </c>
      <c r="Y27" s="6">
        <f>76662/1000000</f>
        <v>7.6661999999999994E-2</v>
      </c>
      <c r="Z27" s="6">
        <f t="shared" si="4"/>
        <v>33.438373999999996</v>
      </c>
      <c r="AA27" s="6">
        <f>17623039/1000000</f>
        <v>17.623038999999999</v>
      </c>
      <c r="AB27" s="6">
        <f>+(1281836-1011873)/1000000</f>
        <v>0.26996300000000001</v>
      </c>
      <c r="AC27" s="6">
        <v>0</v>
      </c>
      <c r="AD27" s="6">
        <f>13000000/1000000</f>
        <v>13</v>
      </c>
      <c r="AE27" s="6">
        <f>16039361/1000000</f>
        <v>16.039361</v>
      </c>
      <c r="AF27" s="6">
        <f>15002893/1000000</f>
        <v>15.002893</v>
      </c>
      <c r="AG27" s="6">
        <f>+BS_Non_Life!B27</f>
        <v>28.890173999999998</v>
      </c>
      <c r="AH27" s="6">
        <f>+BS_Non_Life!C27</f>
        <v>188.75</v>
      </c>
      <c r="AI27" s="6">
        <f>14502986/1000000</f>
        <v>14.502986</v>
      </c>
      <c r="AJ27" s="6">
        <f>+BS_Non_Life!H27</f>
        <v>678.67211699999996</v>
      </c>
    </row>
    <row r="28" spans="1:36" ht="20.100000000000001" customHeight="1" x14ac:dyDescent="0.2">
      <c r="A28" s="7" t="s">
        <v>147</v>
      </c>
      <c r="B28" s="6">
        <f>(109273816+5203263.98)/1000000</f>
        <v>114.47707998</v>
      </c>
      <c r="C28" s="6">
        <f>+(138782664+400000+17674167.8+144018.41)/1000000</f>
        <v>157.00085021000001</v>
      </c>
      <c r="D28" s="6">
        <f>(10107375+2552341.8)/1000000</f>
        <v>12.6597168</v>
      </c>
      <c r="E28" s="6">
        <f>(17142495+23304103.8)/1000000</f>
        <v>40.446598799999997</v>
      </c>
      <c r="F28" s="6">
        <f t="shared" si="0"/>
        <v>324.58424579000001</v>
      </c>
      <c r="G28" s="6">
        <f>(38178285.9+1028852.42)/1000000</f>
        <v>39.207138319999999</v>
      </c>
      <c r="H28" s="6">
        <f>+(111240076.1+400000+4080445.4+41190.71)/1000000</f>
        <v>115.76171221</v>
      </c>
      <c r="I28" s="6">
        <f>(9407375+2552341.8)/1000000</f>
        <v>11.959716800000001</v>
      </c>
      <c r="J28" s="6">
        <f>(17142495+1072317.4)/1000000</f>
        <v>18.2148124</v>
      </c>
      <c r="K28" s="6">
        <f t="shared" si="1"/>
        <v>185.14337972999999</v>
      </c>
      <c r="L28" s="6">
        <f>+(118868883+172946.47)/1000000</f>
        <v>119.04182947</v>
      </c>
      <c r="M28" s="6">
        <f>+(22096974+5717687.73)/1000000</f>
        <v>27.814661730000001</v>
      </c>
      <c r="N28" s="6">
        <f>+(901000+127749.56)/1000000</f>
        <v>1.0287495600000001</v>
      </c>
      <c r="O28" s="6">
        <f>+(99960+10795301.7)/1000000</f>
        <v>10.895261699999999</v>
      </c>
      <c r="P28" s="6">
        <f t="shared" si="2"/>
        <v>158.78050245999998</v>
      </c>
      <c r="Q28" s="6">
        <f>+(98332567.3+172946.47)/1000000</f>
        <v>98.505513769999993</v>
      </c>
      <c r="R28" s="6">
        <f>+(10181384.5+932268.72)/1000000</f>
        <v>11.113653220000002</v>
      </c>
      <c r="S28" s="6">
        <f>+(901000+127749.56)/1000000</f>
        <v>1.0287495600000001</v>
      </c>
      <c r="T28" s="6">
        <f>+(99960+84004.5)/1000000</f>
        <v>0.1839645</v>
      </c>
      <c r="U28" s="6">
        <f t="shared" si="3"/>
        <v>110.83188104999999</v>
      </c>
      <c r="V28" s="6">
        <f>-72679917/1000000</f>
        <v>-72.679917000000003</v>
      </c>
      <c r="W28" s="6">
        <f>54925643/1000000</f>
        <v>54.925643000000001</v>
      </c>
      <c r="X28" s="6">
        <f>10202422/1000000</f>
        <v>10.202422</v>
      </c>
      <c r="Y28" s="6">
        <f>13544728/1000000</f>
        <v>13.544727999999999</v>
      </c>
      <c r="Z28" s="6">
        <f t="shared" si="4"/>
        <v>5.9928759999999972</v>
      </c>
      <c r="AA28" s="6">
        <f>71399927/1000000</f>
        <v>71.399927000000005</v>
      </c>
      <c r="AB28" s="6">
        <f>15835637/1000000</f>
        <v>15.835637</v>
      </c>
      <c r="AC28" s="6">
        <f>43095360/1000000</f>
        <v>43.095359999999999</v>
      </c>
      <c r="AD28" s="6">
        <f>18514338/1000000</f>
        <v>18.514337999999999</v>
      </c>
      <c r="AE28" s="6">
        <f>65105869/1000000</f>
        <v>65.105868999999998</v>
      </c>
      <c r="AF28" s="6">
        <f>57423616/1000000</f>
        <v>57.423616000000003</v>
      </c>
      <c r="AG28" s="6">
        <f>+BS_Non_Life!B28</f>
        <v>112.19461800000001</v>
      </c>
      <c r="AH28" s="6">
        <f>+BS_Non_Life!C28</f>
        <v>885.41681300000005</v>
      </c>
      <c r="AI28" s="6">
        <f>73557596/1000000</f>
        <v>73.557596000000004</v>
      </c>
      <c r="AJ28" s="6">
        <f>+BS_Non_Life!H28</f>
        <v>1380.2603589999999</v>
      </c>
    </row>
    <row r="29" spans="1:36" s="39" customFormat="1" ht="20.100000000000001" customHeight="1" x14ac:dyDescent="0.2">
      <c r="A29" s="9" t="s">
        <v>148</v>
      </c>
      <c r="B29" s="6">
        <f>174889063/1000000</f>
        <v>174.88906299999999</v>
      </c>
      <c r="C29" s="6">
        <f>119031647/1000000</f>
        <v>119.03164700000001</v>
      </c>
      <c r="D29" s="6">
        <f>71540789/1000000</f>
        <v>71.540789000000004</v>
      </c>
      <c r="E29" s="6">
        <f>57139412/1000000</f>
        <v>57.139412</v>
      </c>
      <c r="F29" s="6">
        <f t="shared" si="0"/>
        <v>422.600911</v>
      </c>
      <c r="G29" s="6">
        <f>72987646/1000000</f>
        <v>72.987645999999998</v>
      </c>
      <c r="H29" s="6">
        <f>83485045/1000000</f>
        <v>83.485045</v>
      </c>
      <c r="I29" s="6">
        <f>67596959/1000000</f>
        <v>67.596958999999998</v>
      </c>
      <c r="J29" s="6">
        <f>23137743/1000000</f>
        <v>23.137743</v>
      </c>
      <c r="K29" s="6">
        <f t="shared" si="1"/>
        <v>247.207393</v>
      </c>
      <c r="L29" s="6">
        <f>39795146/1000000</f>
        <v>39.795146000000003</v>
      </c>
      <c r="M29" s="6">
        <f>+(12173267+621)/1000000</f>
        <v>12.173888</v>
      </c>
      <c r="N29" s="6">
        <f>22048332/1000000</f>
        <v>22.048331999999998</v>
      </c>
      <c r="O29" s="6">
        <f>10974487/1000000</f>
        <v>10.974487</v>
      </c>
      <c r="P29" s="6">
        <f t="shared" si="2"/>
        <v>84.991852999999992</v>
      </c>
      <c r="Q29" s="6">
        <f>23861300/1000000</f>
        <v>23.8613</v>
      </c>
      <c r="R29" s="6">
        <f>+(7341846+621)/1000000</f>
        <v>7.3424670000000001</v>
      </c>
      <c r="S29" s="6">
        <f>22048332/1000000</f>
        <v>22.048331999999998</v>
      </c>
      <c r="T29" s="6">
        <f>309192/1000000</f>
        <v>0.30919200000000002</v>
      </c>
      <c r="U29" s="6">
        <f t="shared" si="3"/>
        <v>53.561291000000004</v>
      </c>
      <c r="V29" s="6">
        <f>34500040/1000000</f>
        <v>34.500039999999998</v>
      </c>
      <c r="W29" s="6">
        <f>58095896/1000000</f>
        <v>58.095896000000003</v>
      </c>
      <c r="X29" s="6">
        <f>13711076/1000000</f>
        <v>13.711076</v>
      </c>
      <c r="Y29" s="6">
        <f>11508208/1000000</f>
        <v>11.508208</v>
      </c>
      <c r="Z29" s="6">
        <f t="shared" si="4"/>
        <v>117.81522</v>
      </c>
      <c r="AA29" s="6">
        <f>69420935/1000000</f>
        <v>69.420935</v>
      </c>
      <c r="AB29" s="6">
        <f>29939982/1000000</f>
        <v>29.939982000000001</v>
      </c>
      <c r="AC29" s="6">
        <v>0</v>
      </c>
      <c r="AD29" s="6">
        <f>(25000000-4704306)/1000000</f>
        <v>20.295694000000001</v>
      </c>
      <c r="AE29" s="6">
        <f>78269063/1000000</f>
        <v>78.269063000000003</v>
      </c>
      <c r="AF29" s="6">
        <f>67925282/1000000</f>
        <v>67.925281999999996</v>
      </c>
      <c r="AG29" s="6">
        <f>+BS_Non_Life!B29</f>
        <v>85.050194000000005</v>
      </c>
      <c r="AH29" s="6">
        <f>+BS_Non_Life!C29</f>
        <v>206.21211600000001</v>
      </c>
      <c r="AI29" s="6">
        <f>14724021/1000000</f>
        <v>14.724021</v>
      </c>
      <c r="AJ29" s="6">
        <f>+BS_Non_Life!H29</f>
        <v>1282.2892940000002</v>
      </c>
    </row>
    <row r="30" spans="1:36" ht="20.100000000000001" customHeight="1" x14ac:dyDescent="0.2">
      <c r="A30" s="7" t="s">
        <v>149</v>
      </c>
      <c r="B30" s="6">
        <f>80635959/1000000</f>
        <v>80.635959</v>
      </c>
      <c r="C30" s="6">
        <f>177682697/1000000</f>
        <v>177.68269699999999</v>
      </c>
      <c r="D30" s="6">
        <f>381053094/1000000</f>
        <v>381.05309399999999</v>
      </c>
      <c r="E30" s="6">
        <f>32568287/1000000</f>
        <v>32.568286999999998</v>
      </c>
      <c r="F30" s="6">
        <f>SUM(B30:E30)</f>
        <v>671.94003700000007</v>
      </c>
      <c r="G30" s="6">
        <f>24959300/1000000</f>
        <v>24.959299999999999</v>
      </c>
      <c r="H30" s="6">
        <f>137417080/1000000</f>
        <v>137.41708</v>
      </c>
      <c r="I30" s="6">
        <f>375277076/1000000</f>
        <v>375.27707600000002</v>
      </c>
      <c r="J30" s="6">
        <f>6388370/1000000</f>
        <v>6.3883700000000001</v>
      </c>
      <c r="K30" s="6">
        <f t="shared" si="1"/>
        <v>544.04182600000001</v>
      </c>
      <c r="L30" s="6">
        <f>2525854/1000000</f>
        <v>2.5258539999999998</v>
      </c>
      <c r="M30" s="6">
        <f>15716107/1000000</f>
        <v>15.716106999999999</v>
      </c>
      <c r="N30" s="6">
        <f>230553537/1000000</f>
        <v>230.55353700000001</v>
      </c>
      <c r="O30" s="6">
        <f>10970707/1000000</f>
        <v>10.970707000000001</v>
      </c>
      <c r="P30" s="6">
        <f t="shared" si="2"/>
        <v>259.76620500000001</v>
      </c>
      <c r="Q30" s="6">
        <f>530624/1000000</f>
        <v>0.53062399999999998</v>
      </c>
      <c r="R30" s="6">
        <f>5531839/1000000</f>
        <v>5.5318389999999997</v>
      </c>
      <c r="S30" s="6">
        <f>228706381/1000000</f>
        <v>228.70638099999999</v>
      </c>
      <c r="T30" s="6">
        <f>97605/1000000</f>
        <v>9.7604999999999997E-2</v>
      </c>
      <c r="U30" s="6">
        <f t="shared" si="3"/>
        <v>234.86644899999999</v>
      </c>
      <c r="V30" s="6">
        <f>21222238/1000000</f>
        <v>21.222238000000001</v>
      </c>
      <c r="W30" s="6">
        <f>75899393/1000000</f>
        <v>75.899393000000003</v>
      </c>
      <c r="X30" s="6">
        <f>3983024/1000000</f>
        <v>3.9830239999999999</v>
      </c>
      <c r="Y30" s="6">
        <f>6253648/1000000</f>
        <v>6.2536480000000001</v>
      </c>
      <c r="Z30" s="6">
        <f t="shared" si="4"/>
        <v>107.35830300000001</v>
      </c>
      <c r="AA30" s="6">
        <f>126488155/1000000</f>
        <v>126.48815500000001</v>
      </c>
      <c r="AB30" s="6">
        <f>27184867/1000000</f>
        <v>27.184867000000001</v>
      </c>
      <c r="AC30" s="6">
        <f>40575940/1000000</f>
        <v>40.575940000000003</v>
      </c>
      <c r="AD30" s="6">
        <f>(54404183+200000)/1000000</f>
        <v>54.604182999999999</v>
      </c>
      <c r="AE30" s="6">
        <f>52193056/1000000</f>
        <v>52.193055999999999</v>
      </c>
      <c r="AF30" s="6">
        <f>49450070/1000000</f>
        <v>49.450069999999997</v>
      </c>
      <c r="AG30" s="6">
        <f>+BS_Non_Life!B30</f>
        <v>29.265595999999999</v>
      </c>
      <c r="AH30" s="6">
        <f>+BS_Non_Life!C30</f>
        <v>635</v>
      </c>
      <c r="AI30" s="6">
        <f>43765160/1000000</f>
        <v>43.765160000000002</v>
      </c>
      <c r="AJ30" s="6">
        <f>+BS_Non_Life!H30</f>
        <v>1428.076595</v>
      </c>
    </row>
    <row r="31" spans="1:36" ht="20.100000000000001" customHeight="1" x14ac:dyDescent="0.2">
      <c r="A31" s="7" t="s">
        <v>150</v>
      </c>
      <c r="B31" s="6">
        <f>301319986/1000000</f>
        <v>301.31998599999997</v>
      </c>
      <c r="C31" s="6">
        <f>147966894/1000000</f>
        <v>147.966894</v>
      </c>
      <c r="D31" s="6">
        <f>164599835/1000000</f>
        <v>164.59983500000001</v>
      </c>
      <c r="E31" s="6">
        <f>35676592/1000000</f>
        <v>35.676591999999999</v>
      </c>
      <c r="F31" s="6">
        <f t="shared" si="0"/>
        <v>649.56330700000001</v>
      </c>
      <c r="G31" s="6">
        <f>137879411/1000000</f>
        <v>137.879411</v>
      </c>
      <c r="H31" s="6">
        <f>103208991/1000000</f>
        <v>103.208991</v>
      </c>
      <c r="I31" s="6">
        <f>161408301/1000000</f>
        <v>161.40830099999999</v>
      </c>
      <c r="J31" s="6">
        <f>6987718/1000000</f>
        <v>6.9877180000000001</v>
      </c>
      <c r="K31" s="6">
        <f t="shared" si="1"/>
        <v>409.484421</v>
      </c>
      <c r="L31" s="6">
        <f>13899690/1000000</f>
        <v>13.89969</v>
      </c>
      <c r="M31" s="6">
        <f>47844588/1000000</f>
        <v>47.844588000000002</v>
      </c>
      <c r="N31" s="6">
        <f>68960472/1000000</f>
        <v>68.960471999999996</v>
      </c>
      <c r="O31" s="6">
        <f>83696/1000000</f>
        <v>8.3696000000000007E-2</v>
      </c>
      <c r="P31" s="6">
        <f t="shared" si="2"/>
        <v>130.78844599999999</v>
      </c>
      <c r="Q31" s="6">
        <f>13899690/1000000</f>
        <v>13.89969</v>
      </c>
      <c r="R31" s="6">
        <f>14636848/1000000</f>
        <v>14.636848000000001</v>
      </c>
      <c r="S31" s="6">
        <f>68960472/1000000</f>
        <v>68.960471999999996</v>
      </c>
      <c r="T31" s="6">
        <f>83696/1000000</f>
        <v>8.3696000000000007E-2</v>
      </c>
      <c r="U31" s="6">
        <f t="shared" si="3"/>
        <v>97.580705999999992</v>
      </c>
      <c r="V31" s="6">
        <f>19666058/1000000</f>
        <v>19.666058</v>
      </c>
      <c r="W31" s="6">
        <f>37283948/1000000</f>
        <v>37.283948000000002</v>
      </c>
      <c r="X31" s="6">
        <f>8382688/1000000</f>
        <v>8.3826879999999999</v>
      </c>
      <c r="Y31" s="6">
        <f>4456353/1000000</f>
        <v>4.456353</v>
      </c>
      <c r="Z31" s="6">
        <f t="shared" si="4"/>
        <v>69.789047000000011</v>
      </c>
      <c r="AA31" s="6">
        <f>155248685/1000000</f>
        <v>155.24868499999999</v>
      </c>
      <c r="AB31" s="6">
        <f>53615922/1000000</f>
        <v>53.615921999999998</v>
      </c>
      <c r="AC31" s="6">
        <v>0</v>
      </c>
      <c r="AD31" s="6">
        <f>(40948400+3000000+10000000)/1000000</f>
        <v>53.948399999999999</v>
      </c>
      <c r="AE31" s="6">
        <f>48103576/1000000</f>
        <v>48.103575999999997</v>
      </c>
      <c r="AF31" s="6">
        <f>419214/1000000</f>
        <v>0.41921399999999998</v>
      </c>
      <c r="AG31" s="6">
        <f>+BS_Non_Life!B31</f>
        <v>62.180835000000002</v>
      </c>
      <c r="AH31" s="6">
        <f>+BS_Non_Life!C31</f>
        <v>955.18050000000005</v>
      </c>
      <c r="AI31" s="6">
        <f>+(64429527+40795226+357998+1742163)/1000000</f>
        <v>107.32491400000001</v>
      </c>
      <c r="AJ31" s="6">
        <f>+BS_Non_Life!H31</f>
        <v>2049.3698770000001</v>
      </c>
    </row>
    <row r="32" spans="1:36" ht="20.100000000000001" customHeight="1" x14ac:dyDescent="0.2">
      <c r="A32" s="7" t="s">
        <v>151</v>
      </c>
      <c r="B32" s="6">
        <f>+(689878147+5203264)/1000000</f>
        <v>695.081411</v>
      </c>
      <c r="C32" s="6">
        <f>+(600363893+17914014)/1000000</f>
        <v>618.27790700000003</v>
      </c>
      <c r="D32" s="6">
        <f>+(229364737+2552342)/1000000</f>
        <v>231.917079</v>
      </c>
      <c r="E32" s="6">
        <f>+(96156708+23304106)/1000000</f>
        <v>119.460814</v>
      </c>
      <c r="F32" s="6">
        <f t="shared" si="0"/>
        <v>1664.7372110000001</v>
      </c>
      <c r="G32" s="6">
        <f>138709599/1000000</f>
        <v>138.709599</v>
      </c>
      <c r="H32" s="6">
        <f>300392971/1000000</f>
        <v>300.39297099999999</v>
      </c>
      <c r="I32" s="6">
        <f>207900446/1000000</f>
        <v>207.90044599999999</v>
      </c>
      <c r="J32" s="6">
        <f>55344109/1000000</f>
        <v>55.344109000000003</v>
      </c>
      <c r="K32" s="6">
        <f t="shared" si="1"/>
        <v>702.34712500000001</v>
      </c>
      <c r="L32" s="6">
        <f>+(194933911+172003)/1000000</f>
        <v>195.10591400000001</v>
      </c>
      <c r="M32" s="6">
        <f>+(110924511+5519745)/1000000</f>
        <v>116.444256</v>
      </c>
      <c r="N32" s="6">
        <f>+(50474570+124859)/1000000</f>
        <v>50.599429000000001</v>
      </c>
      <c r="O32" s="6">
        <f>+(38642599+10741166)/1000000</f>
        <v>49.383764999999997</v>
      </c>
      <c r="P32" s="6">
        <f>SUM(L32:O32)</f>
        <v>411.53336399999995</v>
      </c>
      <c r="Q32" s="6">
        <f>31738350/1000000</f>
        <v>31.738350000000001</v>
      </c>
      <c r="R32" s="6">
        <f>17491405/1000000</f>
        <v>17.491405</v>
      </c>
      <c r="S32" s="6">
        <f>42970662/1000000</f>
        <v>42.970661999999997</v>
      </c>
      <c r="T32" s="6">
        <f>11109507/1000000</f>
        <v>11.109507000000001</v>
      </c>
      <c r="U32" s="6">
        <f t="shared" si="3"/>
        <v>103.309924</v>
      </c>
      <c r="V32" s="6">
        <f>-25872705/1000000</f>
        <v>-25.872705</v>
      </c>
      <c r="W32" s="6">
        <f>59502121/1000000</f>
        <v>59.502121000000002</v>
      </c>
      <c r="X32" s="6">
        <f>75912505/1000000</f>
        <v>75.912504999999996</v>
      </c>
      <c r="Y32" s="6">
        <f>15344440/1000000</f>
        <v>15.344440000000001</v>
      </c>
      <c r="Z32" s="6">
        <f t="shared" si="4"/>
        <v>124.88636100000001</v>
      </c>
      <c r="AA32" s="6">
        <f>210335746/1000000</f>
        <v>210.335746</v>
      </c>
      <c r="AB32" s="6">
        <f>55000000/1000000</f>
        <v>55</v>
      </c>
      <c r="AC32" s="6">
        <v>0</v>
      </c>
      <c r="AD32" s="6">
        <f>38629092/1000000</f>
        <v>38.629092</v>
      </c>
      <c r="AE32" s="6">
        <f>117789414/1000000</f>
        <v>117.78941399999999</v>
      </c>
      <c r="AF32" s="6">
        <f>1082760/1000000</f>
        <v>1.0827599999999999</v>
      </c>
      <c r="AG32" s="6">
        <f>+BS_Non_Life!B32</f>
        <v>584.08671800000002</v>
      </c>
      <c r="AH32" s="6">
        <f>+BS_Non_Life!C32</f>
        <v>434.67685</v>
      </c>
      <c r="AI32" s="6">
        <f>+(48126361+67427525)/1000000</f>
        <v>115.55388600000001</v>
      </c>
      <c r="AJ32" s="6">
        <f>+BS_Non_Life!H32</f>
        <v>4310.587254</v>
      </c>
    </row>
    <row r="33" spans="1:36" ht="20.100000000000001" customHeight="1" x14ac:dyDescent="0.2">
      <c r="A33" s="7" t="s">
        <v>152</v>
      </c>
      <c r="B33" s="6">
        <f>+(294119127+5224513)/1000000</f>
        <v>299.34363999999999</v>
      </c>
      <c r="C33" s="6">
        <f>+(243908991+13674168+6104437+254512)/1000000</f>
        <v>263.94210800000002</v>
      </c>
      <c r="D33" s="6">
        <f>+(105925985+2552341)/1000000</f>
        <v>108.478326</v>
      </c>
      <c r="E33" s="6">
        <f>+(20526366+20758321)/1000000</f>
        <v>41.284686999999998</v>
      </c>
      <c r="F33" s="6">
        <f t="shared" si="0"/>
        <v>713.04876100000001</v>
      </c>
      <c r="G33" s="6">
        <f>130623814/1000000</f>
        <v>130.62381400000001</v>
      </c>
      <c r="H33" s="6">
        <f>+(203796712+1219376)/1000000</f>
        <v>205.016088</v>
      </c>
      <c r="I33" s="6">
        <f>108349682/1000000</f>
        <v>108.349682</v>
      </c>
      <c r="J33" s="6">
        <f>10213963/1000000</f>
        <v>10.213963</v>
      </c>
      <c r="K33" s="6">
        <f t="shared" si="1"/>
        <v>454.20354700000001</v>
      </c>
      <c r="L33" s="6">
        <f>+(101880175+172002)/1000000</f>
        <v>102.052177</v>
      </c>
      <c r="M33" s="6">
        <f>+(12873807+1062106+1048727+620)/1000000</f>
        <v>14.98526</v>
      </c>
      <c r="N33" s="6">
        <f>15488991/1000000</f>
        <v>15.488991</v>
      </c>
      <c r="O33" s="6">
        <f>+(544668+5386487)/1000000</f>
        <v>5.9311550000000004</v>
      </c>
      <c r="P33" s="6">
        <f t="shared" si="2"/>
        <v>138.457583</v>
      </c>
      <c r="Q33" s="6">
        <f>14630692/1000000</f>
        <v>14.630692</v>
      </c>
      <c r="R33" s="6">
        <f>+(-10162387+1049347)/1000000</f>
        <v>-9.1130399999999998</v>
      </c>
      <c r="S33" s="6">
        <f>15488991/1000000</f>
        <v>15.488991</v>
      </c>
      <c r="T33" s="6">
        <f>4020671/1000000</f>
        <v>4.0206710000000001</v>
      </c>
      <c r="U33" s="6">
        <f>SUM(Q33:T33)</f>
        <v>25.027314000000001</v>
      </c>
      <c r="V33" s="6">
        <f>-51392015/1000000</f>
        <v>-51.392015000000001</v>
      </c>
      <c r="W33" s="6">
        <f>79378759/1000000</f>
        <v>79.378759000000002</v>
      </c>
      <c r="X33" s="6">
        <f>20446448/1000000</f>
        <v>20.446448</v>
      </c>
      <c r="Y33" s="6">
        <f>-1928992/1000000</f>
        <v>-1.928992</v>
      </c>
      <c r="Z33" s="6">
        <f t="shared" si="4"/>
        <v>46.504200000000004</v>
      </c>
      <c r="AA33" s="6">
        <f>111486376/1000000</f>
        <v>111.48637600000001</v>
      </c>
      <c r="AB33" s="6">
        <f>19209701/1000000</f>
        <v>19.209700999999999</v>
      </c>
      <c r="AC33" s="6">
        <f>60512358/1000000</f>
        <v>60.512357999999999</v>
      </c>
      <c r="AD33" s="6">
        <f>45000000/1000000</f>
        <v>45</v>
      </c>
      <c r="AE33" s="6">
        <f>68535943/1000000</f>
        <v>68.535943000000003</v>
      </c>
      <c r="AF33" s="6">
        <f>60957372/1000000</f>
        <v>60.957371999999999</v>
      </c>
      <c r="AG33" s="6">
        <f>+BS_Non_Life!B33</f>
        <v>898.53968099999997</v>
      </c>
      <c r="AH33" s="6">
        <f>+BS_Non_Life!C33</f>
        <v>253.69354100000001</v>
      </c>
      <c r="AI33" s="6">
        <f>+(14806314+38893090+15603392+40899725)/1000000</f>
        <v>110.202521</v>
      </c>
      <c r="AJ33" s="6">
        <f>+BS_Non_Life!H33</f>
        <v>2364.8027930000003</v>
      </c>
    </row>
    <row r="34" spans="1:36" s="42" customFormat="1" ht="20.100000000000001" customHeight="1" x14ac:dyDescent="0.2">
      <c r="A34" s="40" t="s">
        <v>153</v>
      </c>
      <c r="B34" s="41">
        <f>11641531/1000000</f>
        <v>11.641531000000001</v>
      </c>
      <c r="C34" s="41">
        <f>+(21531625+239846)/1000000</f>
        <v>21.771470999999998</v>
      </c>
      <c r="D34" s="41">
        <f>7796456/1000000</f>
        <v>7.7964560000000001</v>
      </c>
      <c r="E34" s="41">
        <f>26364156/1000000</f>
        <v>26.364156000000001</v>
      </c>
      <c r="F34" s="41">
        <f t="shared" si="0"/>
        <v>67.573613999999992</v>
      </c>
      <c r="G34" s="41">
        <f>2424000/1000000</f>
        <v>2.4239999999999999</v>
      </c>
      <c r="H34" s="41">
        <f>(7879140+137018)/1000000</f>
        <v>8.0161580000000008</v>
      </c>
      <c r="I34" s="41">
        <f>7400472/1000000</f>
        <v>7.4004719999999997</v>
      </c>
      <c r="J34" s="41">
        <f>1092986/1000000</f>
        <v>1.092986</v>
      </c>
      <c r="K34" s="41">
        <f t="shared" si="1"/>
        <v>18.933616000000001</v>
      </c>
      <c r="L34" s="41">
        <f>172095/1000000</f>
        <v>0.172095</v>
      </c>
      <c r="M34" s="41">
        <f>+(6245252+33112)/1000000</f>
        <v>6.2783639999999998</v>
      </c>
      <c r="N34" s="41">
        <f>92960/1000000</f>
        <v>9.2960000000000001E-2</v>
      </c>
      <c r="O34" s="41">
        <f>10748991/1000000</f>
        <v>10.748991</v>
      </c>
      <c r="P34" s="41">
        <f t="shared" si="2"/>
        <v>17.29241</v>
      </c>
      <c r="Q34" s="41">
        <f>-862937/1000000</f>
        <v>-0.86293699999999995</v>
      </c>
      <c r="R34" s="41">
        <f>+(2449863+33112)/1000000</f>
        <v>2.4829750000000002</v>
      </c>
      <c r="S34" s="41">
        <f>92960/1000000</f>
        <v>9.2960000000000001E-2</v>
      </c>
      <c r="T34" s="41">
        <f>83696/1000000</f>
        <v>8.3696000000000007E-2</v>
      </c>
      <c r="U34" s="41">
        <f t="shared" si="3"/>
        <v>1.796694</v>
      </c>
      <c r="V34" s="41">
        <f>2003302/1000000</f>
        <v>2.0033020000000001</v>
      </c>
      <c r="W34" s="41">
        <f>+(387718-60449)/1000000</f>
        <v>0.32726899999999998</v>
      </c>
      <c r="X34" s="41">
        <f>1263266/1000000</f>
        <v>1.263266</v>
      </c>
      <c r="Y34" s="41">
        <f>1612213/1000000</f>
        <v>1.6122129999999999</v>
      </c>
      <c r="Z34" s="41">
        <f t="shared" si="4"/>
        <v>5.2060499999999994</v>
      </c>
      <c r="AA34" s="41">
        <f>104903324/1000000</f>
        <v>104.903324</v>
      </c>
      <c r="AB34" s="41">
        <f>26173393/1000000</f>
        <v>26.173393000000001</v>
      </c>
      <c r="AC34" s="41">
        <v>0</v>
      </c>
      <c r="AD34" s="41">
        <f>1893362/1000000</f>
        <v>1.893362</v>
      </c>
      <c r="AE34" s="41">
        <f>148725458/1000000</f>
        <v>148.725458</v>
      </c>
      <c r="AF34" s="41">
        <f>117038955/1000000</f>
        <v>117.038955</v>
      </c>
      <c r="AG34" s="41">
        <f>+BS_Non_Life!B34</f>
        <v>114.267386</v>
      </c>
      <c r="AH34" s="41">
        <f>+BS_Non_Life!C34</f>
        <v>528.5</v>
      </c>
      <c r="AI34" s="41">
        <f>108517973/1000000</f>
        <v>108.517973</v>
      </c>
      <c r="AJ34" s="41">
        <f>+BS_Non_Life!H34</f>
        <v>965.66617600000006</v>
      </c>
    </row>
    <row r="35" spans="1:36" ht="20.100000000000001" customHeight="1" x14ac:dyDescent="0.2">
      <c r="A35" s="40" t="s">
        <v>154</v>
      </c>
      <c r="B35" s="6">
        <f>+(240699080+5203264)/1000000</f>
        <v>245.902344</v>
      </c>
      <c r="C35" s="6">
        <f>+(117649307+17674168+239845)/1000000</f>
        <v>135.56332</v>
      </c>
      <c r="D35" s="6">
        <f>+(60490385+2552342)/1000000</f>
        <v>63.042726999999999</v>
      </c>
      <c r="E35" s="6">
        <f>+(14793893+23304104)/1000000</f>
        <v>38.097996999999999</v>
      </c>
      <c r="F35" s="6">
        <f t="shared" si="0"/>
        <v>482.60638800000004</v>
      </c>
      <c r="G35" s="6">
        <f>206378495/1000000</f>
        <v>206.37849499999999</v>
      </c>
      <c r="H35" s="6">
        <f>+(106024485+137018)/1000000</f>
        <v>106.161503</v>
      </c>
      <c r="I35" s="6">
        <f>62980095/1000000</f>
        <v>62.980094999999999</v>
      </c>
      <c r="J35" s="6">
        <f>15173290/1000000</f>
        <v>15.17329</v>
      </c>
      <c r="K35" s="6">
        <f t="shared" si="1"/>
        <v>390.69338299999998</v>
      </c>
      <c r="L35" s="6">
        <f>+(126641323+172094)/1000000</f>
        <v>126.813417</v>
      </c>
      <c r="M35" s="6">
        <f>+(72277205+5770922+621)/1000000</f>
        <v>78.048748000000003</v>
      </c>
      <c r="N35" s="6">
        <f>+(5169411+125452)/1000000</f>
        <v>5.2948630000000003</v>
      </c>
      <c r="O35" s="6">
        <f>+(36700+10744597)/1000000</f>
        <v>10.781297</v>
      </c>
      <c r="P35" s="6">
        <f t="shared" si="2"/>
        <v>220.93832499999999</v>
      </c>
      <c r="Q35" s="6">
        <f>126813417/1000000</f>
        <v>126.813417</v>
      </c>
      <c r="R35" s="6">
        <f>+(72899899+621)/1000000</f>
        <v>72.90052</v>
      </c>
      <c r="S35" s="6">
        <f>5294863/1000000</f>
        <v>5.2948630000000003</v>
      </c>
      <c r="T35" s="6">
        <f>116002/1000000</f>
        <v>0.11600199999999999</v>
      </c>
      <c r="U35" s="6">
        <f t="shared" si="3"/>
        <v>205.12480199999999</v>
      </c>
      <c r="V35" s="6">
        <f>8188166/1000000</f>
        <v>8.1881660000000007</v>
      </c>
      <c r="W35" s="6">
        <f>+(5970881+68673)/1000000</f>
        <v>6.0395539999999999</v>
      </c>
      <c r="X35" s="6">
        <f>35382599/1000000</f>
        <v>35.382598999999999</v>
      </c>
      <c r="Y35" s="6">
        <f>3190668/1000000</f>
        <v>3.1906680000000001</v>
      </c>
      <c r="Z35" s="6">
        <f t="shared" si="4"/>
        <v>52.800987000000006</v>
      </c>
      <c r="AA35" s="6">
        <f>68987218/1000000</f>
        <v>68.987217999999999</v>
      </c>
      <c r="AB35" s="6">
        <f>17427176/1000000</f>
        <v>17.427175999999999</v>
      </c>
      <c r="AC35" s="6">
        <v>16.809999999999999</v>
      </c>
      <c r="AD35" s="6">
        <f>19534669/1000000</f>
        <v>19.534669000000001</v>
      </c>
      <c r="AE35" s="6">
        <f>32917249/1000000</f>
        <v>32.917248999999998</v>
      </c>
      <c r="AF35" s="6">
        <f>34517337/1000000</f>
        <v>34.517336999999998</v>
      </c>
      <c r="AG35" s="6">
        <f>+BS_Non_Life!B35</f>
        <v>40.543284</v>
      </c>
      <c r="AH35" s="6">
        <f>+BS_Non_Life!C35</f>
        <v>326.40424100000001</v>
      </c>
      <c r="AI35" s="6">
        <f>+(226848+22938874+6557269+137400)/1000000</f>
        <v>29.860391</v>
      </c>
      <c r="AJ35" s="6">
        <f>+BS_Non_Life!H35</f>
        <v>1019.7117929999999</v>
      </c>
    </row>
    <row r="36" spans="1:36" ht="20.100000000000001" customHeight="1" x14ac:dyDescent="0.2">
      <c r="A36" s="40" t="s">
        <v>155</v>
      </c>
      <c r="B36" s="6">
        <f>309926607/1000000</f>
        <v>309.92660699999999</v>
      </c>
      <c r="C36" s="6">
        <f>201451699/1000000</f>
        <v>201.45169899999999</v>
      </c>
      <c r="D36" s="6">
        <f>49182578/1000000</f>
        <v>49.182577999999999</v>
      </c>
      <c r="E36" s="6">
        <f>108510131/1000000</f>
        <v>108.510131</v>
      </c>
      <c r="F36" s="6">
        <f t="shared" si="0"/>
        <v>669.07101499999999</v>
      </c>
      <c r="G36" s="6">
        <f>38751281/1000000</f>
        <v>38.751280999999999</v>
      </c>
      <c r="H36" s="6">
        <f>154422966/1000000</f>
        <v>154.422966</v>
      </c>
      <c r="I36" s="6">
        <f>45537334/1000000</f>
        <v>45.537334000000001</v>
      </c>
      <c r="J36" s="6">
        <f>15823383/1000000</f>
        <v>15.823383</v>
      </c>
      <c r="K36" s="6">
        <f t="shared" si="1"/>
        <v>254.53496400000003</v>
      </c>
      <c r="L36" s="6">
        <f>32329486/1000000</f>
        <v>32.329486000000003</v>
      </c>
      <c r="M36" s="6">
        <f>22379969/1000000</f>
        <v>22.379968999999999</v>
      </c>
      <c r="N36" s="6">
        <f>6670857/1000000</f>
        <v>6.6708569999999998</v>
      </c>
      <c r="O36" s="6">
        <f>34649956/1000000</f>
        <v>34.649956000000003</v>
      </c>
      <c r="P36" s="6">
        <f t="shared" si="2"/>
        <v>96.030268000000007</v>
      </c>
      <c r="Q36" s="6">
        <f>1311748/1000000</f>
        <v>1.3117479999999999</v>
      </c>
      <c r="R36" s="6">
        <f>10076058/1000000</f>
        <v>10.076058</v>
      </c>
      <c r="S36" s="6">
        <f>5283367/1000000</f>
        <v>5.2833670000000001</v>
      </c>
      <c r="T36" s="6">
        <f>2604573/1000000</f>
        <v>2.6045729999999998</v>
      </c>
      <c r="U36" s="6">
        <f t="shared" si="3"/>
        <v>19.275745999999998</v>
      </c>
      <c r="V36" s="6">
        <f>1927459/1000000</f>
        <v>1.927459</v>
      </c>
      <c r="W36" s="6">
        <f>51273443/1000000</f>
        <v>51.273443</v>
      </c>
      <c r="X36" s="6">
        <f>26581476/1000000</f>
        <v>26.581475999999999</v>
      </c>
      <c r="Y36" s="6">
        <f>5754728/1000000</f>
        <v>5.7547280000000001</v>
      </c>
      <c r="Z36" s="6">
        <f t="shared" si="4"/>
        <v>85.537105999999994</v>
      </c>
      <c r="AA36" s="6">
        <f>88715175/1000000</f>
        <v>88.715175000000002</v>
      </c>
      <c r="AB36" s="6">
        <v>21.96</v>
      </c>
      <c r="AC36" s="6">
        <f>53140747/1000000</f>
        <v>53.140746999999998</v>
      </c>
      <c r="AD36" s="6">
        <f>(19090122+1000000)/1000000</f>
        <v>20.090122000000001</v>
      </c>
      <c r="AE36" s="6">
        <f>76679316/1000000</f>
        <v>76.679316</v>
      </c>
      <c r="AF36" s="6">
        <f>61195010/1000000</f>
        <v>61.195010000000003</v>
      </c>
      <c r="AG36" s="6">
        <f>+BS_Non_Life!B36</f>
        <v>137.96262100000001</v>
      </c>
      <c r="AH36" s="6">
        <f>+BS_Non_Life!C36</f>
        <v>164.944478</v>
      </c>
      <c r="AI36" s="6">
        <f>81527266/1000000</f>
        <v>81.527265999999997</v>
      </c>
      <c r="AJ36" s="6">
        <f>+BS_Non_Life!H36</f>
        <v>1222.8179360000001</v>
      </c>
    </row>
    <row r="37" spans="1:36" ht="20.100000000000001" customHeight="1" x14ac:dyDescent="0.2">
      <c r="A37" s="7" t="s">
        <v>156</v>
      </c>
      <c r="B37" s="6">
        <f>+(1220234951+1876803)/1000000</f>
        <v>1222.111754</v>
      </c>
      <c r="C37" s="6">
        <f>+(867439953+934629+7954740)/1000000</f>
        <v>876.32932200000005</v>
      </c>
      <c r="D37" s="6">
        <f>+(327696160+1246293)/1000000</f>
        <v>328.942453</v>
      </c>
      <c r="E37" s="6">
        <f>+(231238931+1738832)/1000000</f>
        <v>232.97776300000001</v>
      </c>
      <c r="F37" s="6">
        <f t="shared" si="0"/>
        <v>2660.361292</v>
      </c>
      <c r="G37" s="6">
        <f>441042568/1000000</f>
        <v>441.04256800000002</v>
      </c>
      <c r="H37" s="6">
        <f>481345208/1000000</f>
        <v>481.34520800000001</v>
      </c>
      <c r="I37" s="6">
        <f>322001336/1000000</f>
        <v>322.00133599999998</v>
      </c>
      <c r="J37" s="6">
        <f>113363582/1000000</f>
        <v>113.36358199999999</v>
      </c>
      <c r="K37" s="6">
        <f t="shared" si="1"/>
        <v>1357.752694</v>
      </c>
      <c r="L37" s="6">
        <f>499739476/1000000</f>
        <v>499.73947600000002</v>
      </c>
      <c r="M37" s="6">
        <f>151396490/1000000</f>
        <v>151.39649</v>
      </c>
      <c r="N37" s="6">
        <f>70309891/1000000</f>
        <v>70.309890999999993</v>
      </c>
      <c r="O37" s="6">
        <f>+(34472209+57405)/1000000</f>
        <v>34.529614000000002</v>
      </c>
      <c r="P37" s="6">
        <f t="shared" si="2"/>
        <v>755.97547100000008</v>
      </c>
      <c r="Q37" s="6">
        <f>200486443/1000000</f>
        <v>200.48644300000001</v>
      </c>
      <c r="R37" s="6">
        <f>115035676/1000000</f>
        <v>115.035676</v>
      </c>
      <c r="S37" s="6">
        <f>62023416/1000000</f>
        <v>62.023415999999997</v>
      </c>
      <c r="T37" s="6">
        <f>+(73061+17458908)/1000000</f>
        <v>17.531969</v>
      </c>
      <c r="U37" s="6">
        <f t="shared" si="3"/>
        <v>395.07750399999998</v>
      </c>
      <c r="V37" s="6">
        <f>-103486693/1000000</f>
        <v>-103.486693</v>
      </c>
      <c r="W37" s="6">
        <f>130894037/1000000</f>
        <v>130.894037</v>
      </c>
      <c r="X37" s="6">
        <f>150930759/1000000</f>
        <v>150.93075899999999</v>
      </c>
      <c r="Y37" s="6">
        <f>43490522/1000000</f>
        <v>43.490521999999999</v>
      </c>
      <c r="Z37" s="6">
        <f t="shared" si="4"/>
        <v>221.82862499999999</v>
      </c>
      <c r="AA37" s="6">
        <f>309617393/1000000</f>
        <v>309.61739299999999</v>
      </c>
      <c r="AB37" s="6">
        <f>70000000/1000000</f>
        <v>70</v>
      </c>
      <c r="AC37" s="6">
        <v>0</v>
      </c>
      <c r="AD37" s="6">
        <f>132124604/1000000</f>
        <v>132.12460400000001</v>
      </c>
      <c r="AE37" s="6">
        <f>129911314/1000000</f>
        <v>129.911314</v>
      </c>
      <c r="AF37" s="6">
        <f>21817108/1000000</f>
        <v>21.817108000000001</v>
      </c>
      <c r="AG37" s="6">
        <f>+BS_Non_Life!B37</f>
        <v>1608.7109929999999</v>
      </c>
      <c r="AH37" s="6">
        <f>+BS_Non_Life!C37</f>
        <v>814.470958</v>
      </c>
      <c r="AI37" s="6">
        <f>140327014/1000000</f>
        <v>140.32701399999999</v>
      </c>
      <c r="AJ37" s="6">
        <f>+BS_Non_Life!H37</f>
        <v>4082.4606690000001</v>
      </c>
    </row>
    <row r="38" spans="1:36" s="39" customFormat="1" ht="20.100000000000001" customHeight="1" x14ac:dyDescent="0.2">
      <c r="A38" s="7" t="s">
        <v>157</v>
      </c>
      <c r="B38" s="6">
        <f>70470322/1000000</f>
        <v>70.470321999999996</v>
      </c>
      <c r="C38" s="6">
        <f>+(63811485+5500224)/1000000</f>
        <v>69.311708999999993</v>
      </c>
      <c r="D38" s="6">
        <f>28376741/1000000</f>
        <v>28.376740999999999</v>
      </c>
      <c r="E38" s="6">
        <f>24606177/1000000</f>
        <v>24.606176999999999</v>
      </c>
      <c r="F38" s="6">
        <f t="shared" si="0"/>
        <v>192.764949</v>
      </c>
      <c r="G38" s="6">
        <f>41092905/1000000</f>
        <v>41.092905000000002</v>
      </c>
      <c r="H38" s="6">
        <f>+(41466465+207199)/1000000</f>
        <v>41.673664000000002</v>
      </c>
      <c r="I38" s="6">
        <f>28269591/1000000</f>
        <v>28.269590999999998</v>
      </c>
      <c r="J38" s="6">
        <f>5791051/1000000</f>
        <v>5.7910510000000004</v>
      </c>
      <c r="K38" s="6">
        <f t="shared" si="1"/>
        <v>116.82721099999999</v>
      </c>
      <c r="L38" s="6">
        <f>19632966/1000000</f>
        <v>19.632966</v>
      </c>
      <c r="M38" s="6">
        <f>(8022845+10702369)/1000000</f>
        <v>18.725214000000001</v>
      </c>
      <c r="N38" s="6">
        <f>5376031/1000000</f>
        <v>5.3760310000000002</v>
      </c>
      <c r="O38" s="6">
        <f>42849/1000000</f>
        <v>4.2848999999999998E-2</v>
      </c>
      <c r="P38" s="6">
        <f t="shared" si="2"/>
        <v>43.777059999999999</v>
      </c>
      <c r="Q38" s="6">
        <f>6107529/1000000</f>
        <v>6.1075290000000004</v>
      </c>
      <c r="R38" s="6">
        <f>+(1273398+73681)/1000000</f>
        <v>1.3470789999999999</v>
      </c>
      <c r="S38" s="6">
        <f>5376031/1000000</f>
        <v>5.3760310000000002</v>
      </c>
      <c r="T38" s="6">
        <f>-59277/1000000</f>
        <v>-5.9277000000000003E-2</v>
      </c>
      <c r="U38" s="6">
        <f t="shared" si="3"/>
        <v>12.771362000000002</v>
      </c>
      <c r="V38" s="6">
        <f>8509524/1000000</f>
        <v>8.5095240000000008</v>
      </c>
      <c r="W38" s="6">
        <f>18091149/1000000</f>
        <v>18.091149000000001</v>
      </c>
      <c r="X38" s="6">
        <f>5653772/1000000</f>
        <v>5.653772</v>
      </c>
      <c r="Y38" s="6">
        <f>3720112/1000000</f>
        <v>3.7201119999999999</v>
      </c>
      <c r="Z38" s="6">
        <f t="shared" si="4"/>
        <v>35.974557000000004</v>
      </c>
      <c r="AA38" s="6">
        <f>52109932/1000000</f>
        <v>52.109932000000001</v>
      </c>
      <c r="AB38" s="6">
        <f>+(15618296-4549957)/1000000</f>
        <v>11.068339</v>
      </c>
      <c r="AC38" s="6">
        <f>26633812/1000000</f>
        <v>26.633811999999999</v>
      </c>
      <c r="AD38" s="6">
        <f>11682721/1000000</f>
        <v>11.682721000000001</v>
      </c>
      <c r="AE38" s="6">
        <f>29750024/1000000</f>
        <v>29.750024</v>
      </c>
      <c r="AF38" s="6">
        <f>27024964/1000000</f>
        <v>27.024964000000001</v>
      </c>
      <c r="AG38" s="6">
        <f>+BS_Non_Life!B38</f>
        <v>32.109487000000001</v>
      </c>
      <c r="AH38" s="6">
        <f>+BS_Non_Life!C38</f>
        <v>284.28208699999999</v>
      </c>
      <c r="AI38" s="6">
        <f>+(19276657+2031816)/1000000</f>
        <v>21.308472999999999</v>
      </c>
      <c r="AJ38" s="6">
        <f>+BS_Non_Life!H38</f>
        <v>610.29803900000002</v>
      </c>
    </row>
    <row r="39" spans="1:36" ht="20.100000000000001" customHeight="1" x14ac:dyDescent="0.2">
      <c r="A39" s="7" t="s">
        <v>158</v>
      </c>
      <c r="B39" s="6">
        <f>1257598796/1000000</f>
        <v>1257.598796</v>
      </c>
      <c r="C39" s="6">
        <f>823637087/1000000</f>
        <v>823.63708699999995</v>
      </c>
      <c r="D39" s="6">
        <f>228523788/1000000</f>
        <v>228.523788</v>
      </c>
      <c r="E39" s="6">
        <f>259988787/1000000</f>
        <v>259.988787</v>
      </c>
      <c r="F39" s="6">
        <f t="shared" si="0"/>
        <v>2569.748458</v>
      </c>
      <c r="G39" s="6">
        <f>300491474/1000000</f>
        <v>300.49147399999998</v>
      </c>
      <c r="H39" s="6">
        <f>622743648/1000000</f>
        <v>622.74364800000001</v>
      </c>
      <c r="I39" s="6">
        <f>225227205/1000000</f>
        <v>225.227205</v>
      </c>
      <c r="J39" s="6">
        <f>89182851/1000000</f>
        <v>89.182850999999999</v>
      </c>
      <c r="K39" s="6">
        <f t="shared" si="1"/>
        <v>1237.645178</v>
      </c>
      <c r="L39" s="6">
        <f>160693672/1000000</f>
        <v>160.69367199999999</v>
      </c>
      <c r="M39" s="6">
        <f>101778224/1000000</f>
        <v>101.77822399999999</v>
      </c>
      <c r="N39" s="6">
        <f>42207238/1000000</f>
        <v>42.207237999999997</v>
      </c>
      <c r="O39" s="6">
        <f>64823927/1000000</f>
        <v>64.823926999999998</v>
      </c>
      <c r="P39" s="6">
        <f t="shared" si="2"/>
        <v>369.503061</v>
      </c>
      <c r="Q39" s="6">
        <f>30497374/1000000</f>
        <v>30.497374000000001</v>
      </c>
      <c r="R39" s="6">
        <f>45017770/1000000</f>
        <v>45.017769999999999</v>
      </c>
      <c r="S39" s="6">
        <f>42207238/1000000</f>
        <v>42.207237999999997</v>
      </c>
      <c r="T39" s="6">
        <f>54109442/1000000</f>
        <v>54.109442000000001</v>
      </c>
      <c r="U39" s="6">
        <f t="shared" si="3"/>
        <v>171.83182399999998</v>
      </c>
      <c r="V39" s="6">
        <f>18674049/1000000</f>
        <v>18.674049</v>
      </c>
      <c r="W39" s="6">
        <f>272812425/1000000</f>
        <v>272.81242500000002</v>
      </c>
      <c r="X39" s="6">
        <f>96745393/1000000</f>
        <v>96.745393000000007</v>
      </c>
      <c r="Y39" s="6">
        <f>-9345429/1000000</f>
        <v>-9.3454289999999993</v>
      </c>
      <c r="Z39" s="6">
        <f t="shared" si="4"/>
        <v>378.88643800000006</v>
      </c>
      <c r="AA39" s="6">
        <f>458958391/1000000</f>
        <v>458.95839100000001</v>
      </c>
      <c r="AB39" s="6"/>
      <c r="AC39" s="6">
        <f>197522705/1000000</f>
        <v>197.522705</v>
      </c>
      <c r="AD39" s="6">
        <f>123764518/1000000</f>
        <v>123.764518</v>
      </c>
      <c r="AE39" s="6">
        <f>617833420/1000000</f>
        <v>617.83342000000005</v>
      </c>
      <c r="AF39" s="6">
        <f>480162252/1000000</f>
        <v>480.16225200000002</v>
      </c>
      <c r="AG39" s="6">
        <f>+BS_Non_Life!B39</f>
        <v>3246.2577540000002</v>
      </c>
      <c r="AH39" s="6">
        <f>+BS_Non_Life!C39</f>
        <v>1942.5</v>
      </c>
      <c r="AI39" s="6">
        <f>+(264583685+60854045)/1000000</f>
        <v>325.43772999999999</v>
      </c>
      <c r="AJ39" s="6">
        <f>+BS_Non_Life!H39</f>
        <v>8230.7468669999998</v>
      </c>
    </row>
    <row r="40" spans="1:36" ht="20.100000000000001" customHeight="1" x14ac:dyDescent="0.2">
      <c r="A40" s="7" t="s">
        <v>159</v>
      </c>
      <c r="B40" s="6">
        <f>352034792/1000000</f>
        <v>352.03479199999998</v>
      </c>
      <c r="C40" s="6">
        <f>+(234010663+23090626)/1000000</f>
        <v>257.10128900000001</v>
      </c>
      <c r="D40" s="6">
        <f>213950924/1000000</f>
        <v>213.95092399999999</v>
      </c>
      <c r="E40" s="6">
        <f>38443934/1000000</f>
        <v>38.443933999999999</v>
      </c>
      <c r="F40" s="6">
        <f t="shared" si="0"/>
        <v>861.53093899999999</v>
      </c>
      <c r="G40" s="6">
        <f>130178024/1000000</f>
        <v>130.17802399999999</v>
      </c>
      <c r="H40" s="6">
        <f>+(166640134+4015517)/1000000</f>
        <v>170.65565100000001</v>
      </c>
      <c r="I40" s="6">
        <f>201791137/1000000</f>
        <v>201.79113699999999</v>
      </c>
      <c r="J40" s="6">
        <f>10932622/1000000</f>
        <v>10.932622</v>
      </c>
      <c r="K40" s="6">
        <f t="shared" si="1"/>
        <v>513.55743399999994</v>
      </c>
      <c r="L40" s="6">
        <f>81872695/1000000</f>
        <v>81.872694999999993</v>
      </c>
      <c r="M40" s="6">
        <f>+(68482280+621)/1000000</f>
        <v>68.482900999999998</v>
      </c>
      <c r="N40" s="6">
        <f>82868242/1000000</f>
        <v>82.868241999999995</v>
      </c>
      <c r="O40" s="6">
        <f>12829439/1000000</f>
        <v>12.829439000000001</v>
      </c>
      <c r="P40" s="6">
        <f t="shared" si="2"/>
        <v>246.05327700000001</v>
      </c>
      <c r="Q40" s="6">
        <f>70947194/1000000</f>
        <v>70.947193999999996</v>
      </c>
      <c r="R40" s="6">
        <f>+(54921655+621)/1000000</f>
        <v>54.922275999999997</v>
      </c>
      <c r="S40" s="6">
        <f>82868242/1000000</f>
        <v>82.868241999999995</v>
      </c>
      <c r="T40" s="6">
        <f>7164144/1000000</f>
        <v>7.1641440000000003</v>
      </c>
      <c r="U40" s="6">
        <f t="shared" si="3"/>
        <v>215.90185599999998</v>
      </c>
      <c r="V40" s="6">
        <f>18262825/1000000</f>
        <v>18.262824999999999</v>
      </c>
      <c r="W40" s="6">
        <f>44422146/1000000</f>
        <v>44.422145999999998</v>
      </c>
      <c r="X40" s="6">
        <f>64900960/1000000</f>
        <v>64.900959999999998</v>
      </c>
      <c r="Y40" s="6">
        <f>1325284/1000000</f>
        <v>1.3252839999999999</v>
      </c>
      <c r="Z40" s="6">
        <f t="shared" si="4"/>
        <v>128.911215</v>
      </c>
      <c r="AA40" s="6">
        <f>178957091/1000000</f>
        <v>178.95709099999999</v>
      </c>
      <c r="AB40" s="6">
        <f>+(45600000+2000000)/1000000</f>
        <v>47.6</v>
      </c>
      <c r="AC40" s="6">
        <v>0</v>
      </c>
      <c r="AD40" s="6">
        <f>65000000/1000000</f>
        <v>65</v>
      </c>
      <c r="AE40" s="6">
        <f>69722991/1000000</f>
        <v>69.722990999999993</v>
      </c>
      <c r="AF40" s="6">
        <f>3365900/1000000</f>
        <v>3.3658999999999999</v>
      </c>
      <c r="AG40" s="6">
        <f>+BS_Non_Life!B40</f>
        <v>133.12583799999999</v>
      </c>
      <c r="AH40" s="6">
        <f>+BS_Non_Life!C40</f>
        <v>899.00492399999996</v>
      </c>
      <c r="AI40" s="6">
        <f>+(70296320+8523717)/1000000</f>
        <v>78.820036999999999</v>
      </c>
      <c r="AJ40" s="6">
        <f>+BS_Non_Life!H40</f>
        <v>2284.4046590000003</v>
      </c>
    </row>
    <row r="41" spans="1:36" ht="20.100000000000001" customHeight="1" x14ac:dyDescent="0.2">
      <c r="A41" s="7" t="s">
        <v>175</v>
      </c>
      <c r="B41" s="6">
        <v>217.45</v>
      </c>
      <c r="C41" s="6">
        <v>138.94999999999999</v>
      </c>
      <c r="D41" s="6">
        <v>47.92</v>
      </c>
      <c r="E41" s="6">
        <v>73.92</v>
      </c>
      <c r="F41" s="6">
        <f t="shared" si="0"/>
        <v>478.24</v>
      </c>
      <c r="G41" s="6">
        <v>148.75</v>
      </c>
      <c r="H41" s="6">
        <v>115.58</v>
      </c>
      <c r="I41" s="6">
        <v>45.51</v>
      </c>
      <c r="J41" s="6">
        <v>20.66</v>
      </c>
      <c r="K41" s="6">
        <f t="shared" si="1"/>
        <v>330.5</v>
      </c>
      <c r="L41" s="6">
        <v>38.28</v>
      </c>
      <c r="M41" s="6">
        <v>17.190000000000001</v>
      </c>
      <c r="N41" s="6">
        <v>4.45</v>
      </c>
      <c r="O41" s="6">
        <v>11.8</v>
      </c>
      <c r="P41" s="6">
        <f t="shared" si="2"/>
        <v>71.72</v>
      </c>
      <c r="Q41" s="6">
        <v>38.28</v>
      </c>
      <c r="R41" s="6">
        <v>12.36</v>
      </c>
      <c r="S41" s="6">
        <v>4.45</v>
      </c>
      <c r="T41" s="6">
        <v>1.1299999999999999</v>
      </c>
      <c r="U41" s="6">
        <f t="shared" si="3"/>
        <v>56.220000000000006</v>
      </c>
      <c r="V41" s="6">
        <v>18.7</v>
      </c>
      <c r="W41" s="6">
        <v>47.84</v>
      </c>
      <c r="X41" s="6">
        <v>20.47</v>
      </c>
      <c r="Y41" s="6">
        <v>-7.26</v>
      </c>
      <c r="Z41" s="6">
        <f t="shared" si="4"/>
        <v>79.75</v>
      </c>
      <c r="AA41" s="6">
        <f>88406343/1000000</f>
        <v>88.406343000000007</v>
      </c>
      <c r="AB41" s="6">
        <f>28913326/1000000</f>
        <v>28.913326000000001</v>
      </c>
      <c r="AC41" s="6">
        <v>0</v>
      </c>
      <c r="AD41" s="6">
        <f>18012417/1000000</f>
        <v>18.012416999999999</v>
      </c>
      <c r="AE41" s="6">
        <f>46169074/1000000</f>
        <v>46.169074000000002</v>
      </c>
      <c r="AF41" s="6">
        <f>43211004/1000000</f>
        <v>43.211004000000003</v>
      </c>
      <c r="AG41" s="6">
        <f>+BS_Non_Life!B41</f>
        <v>46.452074000000003</v>
      </c>
      <c r="AH41" s="6">
        <f>+BS_Non_Life!C41</f>
        <v>419.82406099999997</v>
      </c>
      <c r="AI41" s="6">
        <f>32807177/1000000</f>
        <v>32.807177000000003</v>
      </c>
      <c r="AJ41" s="6">
        <f>+BS_Non_Life!H41</f>
        <v>1005.497762</v>
      </c>
    </row>
    <row r="42" spans="1:36" ht="20.100000000000001" customHeight="1" x14ac:dyDescent="0.2">
      <c r="A42" s="7" t="s">
        <v>160</v>
      </c>
      <c r="B42" s="6">
        <f>88328008/1000000</f>
        <v>88.328007999999997</v>
      </c>
      <c r="C42" s="6">
        <f>105640241/1000000</f>
        <v>105.640241</v>
      </c>
      <c r="D42" s="6">
        <f>16399203/1000000</f>
        <v>16.399203</v>
      </c>
      <c r="E42" s="6">
        <f>4358291/1000000</f>
        <v>4.3582910000000004</v>
      </c>
      <c r="F42" s="6">
        <f t="shared" si="0"/>
        <v>214.72574300000002</v>
      </c>
      <c r="G42" s="6">
        <f>44941957/1000000</f>
        <v>44.941957000000002</v>
      </c>
      <c r="H42" s="6">
        <f>98485067/1000000</f>
        <v>98.485067000000001</v>
      </c>
      <c r="I42" s="6">
        <f>14644449/1000000</f>
        <v>14.644449</v>
      </c>
      <c r="J42" s="6">
        <f>2879660/1000000</f>
        <v>2.8796599999999999</v>
      </c>
      <c r="K42" s="6">
        <f t="shared" si="1"/>
        <v>160.95113300000003</v>
      </c>
      <c r="L42" s="6">
        <f>65616232/1000000</f>
        <v>65.616231999999997</v>
      </c>
      <c r="M42" s="6">
        <f>7138828/1000000</f>
        <v>7.1388280000000002</v>
      </c>
      <c r="N42" s="6">
        <f>1894790/1000000</f>
        <v>1.89479</v>
      </c>
      <c r="O42" s="6">
        <v>0</v>
      </c>
      <c r="P42" s="6">
        <f t="shared" si="2"/>
        <v>74.649850000000001</v>
      </c>
      <c r="Q42" s="6">
        <f>-91252766/1000000</f>
        <v>-91.252765999999994</v>
      </c>
      <c r="R42" s="6">
        <f>7138828/1000000</f>
        <v>7.1388280000000002</v>
      </c>
      <c r="S42" s="6">
        <f>1894790/1000000</f>
        <v>1.89479</v>
      </c>
      <c r="T42" s="6">
        <v>0</v>
      </c>
      <c r="U42" s="6">
        <f t="shared" si="3"/>
        <v>-82.21914799999999</v>
      </c>
      <c r="V42" s="6">
        <f>-3532088/1000000</f>
        <v>-3.5320879999999999</v>
      </c>
      <c r="W42" s="6">
        <f>56502770/1000000</f>
        <v>56.502769999999998</v>
      </c>
      <c r="X42" s="6">
        <f>-2749478/1000000</f>
        <v>-2.7494779999999999</v>
      </c>
      <c r="Y42" s="6">
        <f>-496275/1000000</f>
        <v>-0.49627500000000002</v>
      </c>
      <c r="Z42" s="6">
        <f t="shared" si="4"/>
        <v>49.724929000000003</v>
      </c>
      <c r="AA42" s="6">
        <f>57824888/1000000</f>
        <v>57.824888000000001</v>
      </c>
      <c r="AB42" s="6">
        <f>24472475/1000000</f>
        <v>24.472474999999999</v>
      </c>
      <c r="AC42" s="6">
        <f>32529370/1000000</f>
        <v>32.52937</v>
      </c>
      <c r="AD42" s="6">
        <f>+(21000000+1000000+3946777)/1000000</f>
        <v>25.946777000000001</v>
      </c>
      <c r="AE42" s="6">
        <f>52835408/1000000</f>
        <v>52.835408000000001</v>
      </c>
      <c r="AF42" s="6">
        <f>43620148/1000000</f>
        <v>43.620148</v>
      </c>
      <c r="AG42" s="6">
        <f>+BS_Non_Life!B42</f>
        <v>86.887361999999996</v>
      </c>
      <c r="AH42" s="6">
        <f>+BS_Non_Life!C42</f>
        <v>702.49578499999996</v>
      </c>
      <c r="AI42" s="6">
        <f>+(51738816+1736238)/1000000</f>
        <v>53.475054</v>
      </c>
      <c r="AJ42" s="6">
        <f>+BS_Non_Life!H42</f>
        <v>980.39910300000008</v>
      </c>
    </row>
    <row r="43" spans="1:36" ht="20.100000000000001" customHeight="1" x14ac:dyDescent="0.2">
      <c r="A43" s="7" t="s">
        <v>161</v>
      </c>
      <c r="B43" s="6">
        <f>13578056/1000000</f>
        <v>13.578056</v>
      </c>
      <c r="C43" s="6">
        <f>23861457/1000000</f>
        <v>23.861457000000001</v>
      </c>
      <c r="D43" s="6">
        <f>5355198/1000000</f>
        <v>5.3551979999999997</v>
      </c>
      <c r="E43" s="6">
        <f>23304108/1000000</f>
        <v>23.304107999999999</v>
      </c>
      <c r="F43" s="6">
        <f t="shared" si="0"/>
        <v>66.098819000000006</v>
      </c>
      <c r="G43" s="6">
        <f>5865954/1000000</f>
        <v>5.8659540000000003</v>
      </c>
      <c r="H43" s="6">
        <f>9702983/1000000</f>
        <v>9.7029829999999997</v>
      </c>
      <c r="I43" s="6">
        <f>5292563/1000000</f>
        <v>5.2925630000000004</v>
      </c>
      <c r="J43" s="6">
        <f>1072323/1000000</f>
        <v>1.0723229999999999</v>
      </c>
      <c r="K43" s="6">
        <f t="shared" si="1"/>
        <v>21.933823</v>
      </c>
      <c r="L43" s="6">
        <f>172094/1000000</f>
        <v>0.172094</v>
      </c>
      <c r="M43" s="6">
        <f>5768384/1000000</f>
        <v>5.7683840000000002</v>
      </c>
      <c r="N43" s="6">
        <f>185198/1000000</f>
        <v>0.185198</v>
      </c>
      <c r="O43" s="6">
        <f>10744601/1000000</f>
        <v>10.744600999999999</v>
      </c>
      <c r="P43" s="6">
        <f t="shared" si="2"/>
        <v>16.870277000000002</v>
      </c>
      <c r="Q43" s="6">
        <f>171487/1000000</f>
        <v>0.171487</v>
      </c>
      <c r="R43" s="6">
        <f>937571/1000000</f>
        <v>0.93757100000000004</v>
      </c>
      <c r="S43" s="6">
        <f>185198/1000000</f>
        <v>0.185198</v>
      </c>
      <c r="T43" s="6">
        <f>79305/1000000</f>
        <v>7.9305E-2</v>
      </c>
      <c r="U43" s="6">
        <f t="shared" si="3"/>
        <v>1.373561</v>
      </c>
      <c r="V43" s="6">
        <f>929794/1000000</f>
        <v>0.92979400000000001</v>
      </c>
      <c r="W43" s="6">
        <f>+(5938126+14654)/1000000</f>
        <v>5.9527799999999997</v>
      </c>
      <c r="X43" s="6">
        <f>2907993/1000000</f>
        <v>2.9079929999999998</v>
      </c>
      <c r="Y43" s="6">
        <f>-3234415/1000000</f>
        <v>-3.2344149999999998</v>
      </c>
      <c r="Z43" s="6">
        <f t="shared" si="4"/>
        <v>6.5561519999999991</v>
      </c>
      <c r="AA43" s="6">
        <f>15247633/1000000</f>
        <v>15.247633</v>
      </c>
      <c r="AB43" s="6">
        <f>2501553/1000000</f>
        <v>2.5015529999999999</v>
      </c>
      <c r="AC43" s="6">
        <v>0</v>
      </c>
      <c r="AD43" s="6">
        <f>6609882/1000000</f>
        <v>6.6098819999999998</v>
      </c>
      <c r="AE43" s="6">
        <f>35830836/1000000</f>
        <v>35.830835999999998</v>
      </c>
      <c r="AF43" s="6">
        <f>29694638/1000000</f>
        <v>29.694638000000001</v>
      </c>
      <c r="AG43" s="6">
        <f>+BS_Non_Life!B43</f>
        <v>25</v>
      </c>
      <c r="AH43" s="6">
        <f>+BS_Non_Life!C43</f>
        <v>109.497315</v>
      </c>
      <c r="AI43" s="6">
        <f>+(10682344+4000)/1000000</f>
        <v>10.686344</v>
      </c>
      <c r="AJ43" s="6">
        <f>+BS_Non_Life!H43</f>
        <v>271.787688</v>
      </c>
    </row>
    <row r="44" spans="1:36" s="39" customFormat="1" ht="20.100000000000001" customHeight="1" x14ac:dyDescent="0.2">
      <c r="A44" s="7" t="s">
        <v>162</v>
      </c>
      <c r="B44" s="6">
        <f>193864446/1000000</f>
        <v>193.86444599999999</v>
      </c>
      <c r="C44" s="6">
        <f>+(140781625+344845)/1000000</f>
        <v>141.12647000000001</v>
      </c>
      <c r="D44" s="6">
        <f>34958163/1000000</f>
        <v>34.958162999999999</v>
      </c>
      <c r="E44" s="6">
        <f>35367896/1000000</f>
        <v>35.367896000000002</v>
      </c>
      <c r="F44" s="6">
        <f t="shared" si="0"/>
        <v>405.31697499999996</v>
      </c>
      <c r="G44" s="6">
        <f>143105852/1000000</f>
        <v>143.105852</v>
      </c>
      <c r="H44" s="6">
        <f>+(111941039-1772982)/1000000</f>
        <v>110.168057</v>
      </c>
      <c r="I44" s="6">
        <f>34115152/1000000</f>
        <v>34.115152000000002</v>
      </c>
      <c r="J44" s="6">
        <f>11375290/1000000</f>
        <v>11.37529</v>
      </c>
      <c r="K44" s="6">
        <f t="shared" si="1"/>
        <v>298.76435100000003</v>
      </c>
      <c r="L44" s="6">
        <f>113473267/1000000</f>
        <v>113.47326700000001</v>
      </c>
      <c r="M44" s="6">
        <f>+(11836772+1800621)/1000000</f>
        <v>13.637392999999999</v>
      </c>
      <c r="N44" s="6">
        <f>5089074/1000000</f>
        <v>5.0890740000000001</v>
      </c>
      <c r="O44" s="6">
        <f>9744596/1000000</f>
        <v>9.7445959999999996</v>
      </c>
      <c r="P44" s="6">
        <f t="shared" si="2"/>
        <v>141.94433000000001</v>
      </c>
      <c r="Q44" s="6">
        <f>75123954/1000000</f>
        <v>75.123953999999998</v>
      </c>
      <c r="R44" s="6">
        <f>+(7005351-90959)/1000000</f>
        <v>6.9143920000000003</v>
      </c>
      <c r="S44" s="6">
        <f>5089074/1000000</f>
        <v>5.0890740000000001</v>
      </c>
      <c r="T44" s="6">
        <f>-920698/1000000</f>
        <v>-0.92069800000000002</v>
      </c>
      <c r="U44" s="6">
        <f t="shared" si="3"/>
        <v>86.206721999999999</v>
      </c>
      <c r="V44" s="6">
        <f>18137055/1000000</f>
        <v>18.137055</v>
      </c>
      <c r="W44" s="6">
        <f>+(41804238+2238770)/1000000</f>
        <v>44.043008</v>
      </c>
      <c r="X44" s="6">
        <f>13171751/1000000</f>
        <v>13.171751</v>
      </c>
      <c r="Y44" s="6">
        <f>1774526/1000000</f>
        <v>1.774526</v>
      </c>
      <c r="Z44" s="6">
        <f t="shared" si="4"/>
        <v>77.126339999999999</v>
      </c>
      <c r="AA44" s="6">
        <f>91094753/1000000</f>
        <v>91.094752999999997</v>
      </c>
      <c r="AB44" s="6">
        <f>22046387/1000000</f>
        <v>22.046386999999999</v>
      </c>
      <c r="AC44" s="6">
        <f>31218960/1000000</f>
        <v>31.218959999999999</v>
      </c>
      <c r="AD44" s="6">
        <f>29876438/1000000</f>
        <v>29.876438</v>
      </c>
      <c r="AE44" s="6">
        <f>46496274/1000000</f>
        <v>46.496274</v>
      </c>
      <c r="AF44" s="6">
        <f>43665943/1000000</f>
        <v>43.665942999999999</v>
      </c>
      <c r="AG44" s="6">
        <f>+BS_Non_Life!B44</f>
        <v>122.42673000000001</v>
      </c>
      <c r="AH44" s="6">
        <f>+BS_Non_Life!C44</f>
        <v>249.51384100000001</v>
      </c>
      <c r="AI44" s="6">
        <f>+(16994573+15536278)/1000000</f>
        <v>32.530850999999998</v>
      </c>
      <c r="AJ44" s="6">
        <f>+BS_Non_Life!H44</f>
        <v>800.20620100000019</v>
      </c>
    </row>
    <row r="45" spans="1:36" ht="20.100000000000001" customHeight="1" x14ac:dyDescent="0.2">
      <c r="A45" s="7" t="s">
        <v>163</v>
      </c>
      <c r="B45" s="6">
        <f>85994450/1000000</f>
        <v>85.994450000000001</v>
      </c>
      <c r="C45" s="6">
        <f>43079704/1000000</f>
        <v>43.079704</v>
      </c>
      <c r="D45" s="6">
        <f>13748425/1000000</f>
        <v>13.748424999999999</v>
      </c>
      <c r="E45" s="6">
        <f>112551969/1000000</f>
        <v>112.551969</v>
      </c>
      <c r="F45" s="6">
        <f t="shared" si="0"/>
        <v>255.374548</v>
      </c>
      <c r="G45" s="6">
        <f>69543886/1000000</f>
        <v>69.543886000000001</v>
      </c>
      <c r="H45" s="6">
        <f>27724447/1000000</f>
        <v>27.724447000000001</v>
      </c>
      <c r="I45" s="6">
        <f>13539543/1000000</f>
        <v>13.539543</v>
      </c>
      <c r="J45" s="6">
        <f>26845074/1000000</f>
        <v>26.845074</v>
      </c>
      <c r="K45" s="6">
        <f t="shared" si="1"/>
        <v>137.65295</v>
      </c>
      <c r="L45" s="6">
        <f>5948599/1000000</f>
        <v>5.9485989999999997</v>
      </c>
      <c r="M45" s="6">
        <f>939958/1000000</f>
        <v>0.93995799999999996</v>
      </c>
      <c r="N45" s="6">
        <f>909438/1000000</f>
        <v>0.90943799999999997</v>
      </c>
      <c r="O45" s="6">
        <f>52852144/1000000</f>
        <v>52.852144000000003</v>
      </c>
      <c r="P45" s="6">
        <f t="shared" si="2"/>
        <v>60.650139000000003</v>
      </c>
      <c r="Q45" s="6">
        <f>5948599/1000000</f>
        <v>5.9485989999999997</v>
      </c>
      <c r="R45" s="6">
        <f>938017/1000000</f>
        <v>0.93801699999999999</v>
      </c>
      <c r="S45" s="6">
        <f>909438/1000000</f>
        <v>0.90943799999999997</v>
      </c>
      <c r="T45" s="6">
        <f>262499/1000000</f>
        <v>0.26249899999999998</v>
      </c>
      <c r="U45" s="6">
        <f t="shared" si="3"/>
        <v>8.0585529999999999</v>
      </c>
      <c r="V45" s="6">
        <f>18490927/1000000</f>
        <v>18.490926999999999</v>
      </c>
      <c r="W45" s="6">
        <f>10469291/1000000</f>
        <v>10.469291</v>
      </c>
      <c r="X45" s="6">
        <f>4689212/1000000</f>
        <v>4.6892120000000004</v>
      </c>
      <c r="Y45" s="6">
        <f>-23497194/1000000</f>
        <v>-23.497194</v>
      </c>
      <c r="Z45" s="6">
        <f t="shared" si="4"/>
        <v>10.152235999999995</v>
      </c>
      <c r="AA45" s="6">
        <f>9575321/1000000</f>
        <v>9.5753210000000006</v>
      </c>
      <c r="AB45" s="6">
        <f>1340746/1000000</f>
        <v>1.340746</v>
      </c>
      <c r="AC45" s="6">
        <v>0</v>
      </c>
      <c r="AD45" s="6">
        <f>+(6000000+2594577)/1000000</f>
        <v>8.5945769999999992</v>
      </c>
      <c r="AE45" s="6">
        <f>70378410/1000000</f>
        <v>70.378410000000002</v>
      </c>
      <c r="AF45" s="6">
        <f>68143833/1000000</f>
        <v>68.143833000000001</v>
      </c>
      <c r="AG45" s="6">
        <f>+BS_Non_Life!B45</f>
        <v>797.78167099999996</v>
      </c>
      <c r="AH45" s="6">
        <f>+BS_Non_Life!C45</f>
        <v>169.5</v>
      </c>
      <c r="AI45" s="6">
        <f>11335261/1000000</f>
        <v>11.335260999999999</v>
      </c>
      <c r="AJ45" s="6">
        <f>+BS_Non_Life!H45</f>
        <v>1040.651492</v>
      </c>
    </row>
    <row r="46" spans="1:36" ht="20.100000000000001" customHeight="1" x14ac:dyDescent="0.2">
      <c r="A46" s="7" t="s">
        <v>164</v>
      </c>
      <c r="B46" s="6">
        <f>58509397/1000000</f>
        <v>58.509397</v>
      </c>
      <c r="C46" s="6">
        <f>+(41905197+5637060)/1000000</f>
        <v>47.542256999999999</v>
      </c>
      <c r="D46" s="6">
        <f>21225131/1000000</f>
        <v>21.225131000000001</v>
      </c>
      <c r="E46" s="6">
        <f>135545617/1000000</f>
        <v>135.54561699999999</v>
      </c>
      <c r="F46" s="6">
        <f t="shared" si="0"/>
        <v>262.82240200000001</v>
      </c>
      <c r="G46" s="6">
        <f>31194896/1000000</f>
        <v>31.194896</v>
      </c>
      <c r="H46" s="6">
        <f>+(25127207+3225384)/1000000</f>
        <v>28.352591</v>
      </c>
      <c r="I46" s="6">
        <f>21132236/1000000</f>
        <v>21.132235999999999</v>
      </c>
      <c r="J46" s="6">
        <f>51430103/1000000</f>
        <v>51.430103000000003</v>
      </c>
      <c r="K46" s="6">
        <f t="shared" si="1"/>
        <v>132.109826</v>
      </c>
      <c r="L46" s="6">
        <f>10963873/1000000</f>
        <v>10.963873</v>
      </c>
      <c r="M46" s="6">
        <f>+(5853197+621)/1000000</f>
        <v>5.8538180000000004</v>
      </c>
      <c r="N46" s="6">
        <f>2061587/1000000</f>
        <v>2.0615869999999998</v>
      </c>
      <c r="O46" s="6">
        <f>18178882/1000000</f>
        <v>18.178882000000002</v>
      </c>
      <c r="P46" s="6">
        <f t="shared" si="2"/>
        <v>37.058160000000001</v>
      </c>
      <c r="Q46" s="6">
        <f>-67723/1000000</f>
        <v>-6.7723000000000005E-2</v>
      </c>
      <c r="R46" s="6">
        <f>+(1021776+621)/1000000</f>
        <v>1.022397</v>
      </c>
      <c r="S46" s="6">
        <f>2061587/1000000</f>
        <v>2.0615869999999998</v>
      </c>
      <c r="T46" s="6">
        <f>7513587/1000000</f>
        <v>7.5135870000000002</v>
      </c>
      <c r="U46" s="6">
        <f t="shared" si="3"/>
        <v>10.529848000000001</v>
      </c>
      <c r="V46" s="6">
        <f>9638604/1000000</f>
        <v>9.6386040000000008</v>
      </c>
      <c r="W46" s="6">
        <f>11605193/1000000</f>
        <v>11.605193</v>
      </c>
      <c r="X46" s="6">
        <f>8006416/1000000</f>
        <v>8.0064159999999998</v>
      </c>
      <c r="Y46" s="6">
        <f>6764366/1000000</f>
        <v>6.7643659999999999</v>
      </c>
      <c r="Z46" s="6">
        <f t="shared" si="4"/>
        <v>36.014579000000005</v>
      </c>
      <c r="AA46" s="6">
        <f>55090403/1000000</f>
        <v>55.090403000000002</v>
      </c>
      <c r="AB46" s="6">
        <f>10240665/1000000</f>
        <v>10.240665</v>
      </c>
      <c r="AC46" s="6">
        <f>12000000/1000000</f>
        <v>12</v>
      </c>
      <c r="AD46" s="6">
        <f>26282240/1000000</f>
        <v>26.282240000000002</v>
      </c>
      <c r="AE46" s="6">
        <f>24381945/1000000</f>
        <v>24.381945000000002</v>
      </c>
      <c r="AF46" s="6">
        <f>17814447/1000000</f>
        <v>17.814447000000001</v>
      </c>
      <c r="AG46" s="6">
        <f>+BS_Non_Life!B46</f>
        <v>26.5</v>
      </c>
      <c r="AH46" s="6">
        <f>+BS_Non_Life!C46</f>
        <v>360.9</v>
      </c>
      <c r="AI46" s="6">
        <f>+(27172567+717201)/1000000</f>
        <v>27.889768</v>
      </c>
      <c r="AJ46" s="6">
        <f>+BS_Non_Life!H46</f>
        <v>462.21852399999995</v>
      </c>
    </row>
    <row r="47" spans="1:36" ht="20.100000000000001" customHeight="1" x14ac:dyDescent="0.2">
      <c r="A47" s="7" t="s">
        <v>165</v>
      </c>
      <c r="B47" s="6">
        <f>+(191703537+5210551)/1000000</f>
        <v>196.91408799999999</v>
      </c>
      <c r="C47" s="6">
        <f>+(123856329+17676881+1104250+229846)/1000000</f>
        <v>142.86730600000001</v>
      </c>
      <c r="D47" s="6">
        <f>+(25562701+2552342)/1000000</f>
        <v>28.115043</v>
      </c>
      <c r="E47" s="6">
        <f>+(5909705+23304104)/1000000</f>
        <v>29.213809000000001</v>
      </c>
      <c r="F47" s="6">
        <f t="shared" si="0"/>
        <v>397.11024600000002</v>
      </c>
      <c r="G47" s="6">
        <f>80121171/1000000</f>
        <v>80.121171000000004</v>
      </c>
      <c r="H47" s="6">
        <f>+(99037967+856961)/1000000</f>
        <v>99.894927999999993</v>
      </c>
      <c r="I47" s="6">
        <f>23441698/1000000</f>
        <v>23.441697999999999</v>
      </c>
      <c r="J47" s="6">
        <f>4170529/1000000</f>
        <v>4.1705290000000002</v>
      </c>
      <c r="K47" s="6">
        <f t="shared" si="1"/>
        <v>207.62832599999999</v>
      </c>
      <c r="L47" s="6">
        <v>107.16</v>
      </c>
      <c r="M47" s="6">
        <v>2.4700000000000002</v>
      </c>
      <c r="N47" s="6">
        <v>2.02</v>
      </c>
      <c r="O47" s="6">
        <v>0.06</v>
      </c>
      <c r="P47" s="6">
        <f t="shared" si="2"/>
        <v>111.71</v>
      </c>
      <c r="Q47" s="6">
        <f>25812320/1000000</f>
        <v>25.81232</v>
      </c>
      <c r="R47" s="6">
        <f>+(1017646+621)/1000000</f>
        <v>1.018267</v>
      </c>
      <c r="S47" s="6">
        <f>2026179/1000000</f>
        <v>2.026179</v>
      </c>
      <c r="T47" s="6">
        <f>66983/1000000</f>
        <v>6.6983000000000001E-2</v>
      </c>
      <c r="U47" s="6">
        <f t="shared" si="3"/>
        <v>28.923749000000001</v>
      </c>
      <c r="V47" s="6">
        <f>-19653646/1000000</f>
        <v>-19.653645999999998</v>
      </c>
      <c r="W47" s="6">
        <f>+(28618922+525532)/1000000</f>
        <v>29.144454</v>
      </c>
      <c r="X47" s="6">
        <f>3797291/1000000</f>
        <v>3.797291</v>
      </c>
      <c r="Y47" s="6">
        <f>3754447/1000000</f>
        <v>3.7544469999999999</v>
      </c>
      <c r="Z47" s="6">
        <f t="shared" si="4"/>
        <v>17.042546000000002</v>
      </c>
      <c r="AA47" s="6">
        <f>81219792/1000000</f>
        <v>81.219791999999998</v>
      </c>
      <c r="AB47" s="6">
        <f>8977727/1000000</f>
        <v>8.9777269999999998</v>
      </c>
      <c r="AC47" s="6">
        <f>18048699/1000000</f>
        <v>18.048698999999999</v>
      </c>
      <c r="AD47" s="6">
        <f>+(283886439-42560553)/1000000</f>
        <v>241.325886</v>
      </c>
      <c r="AE47" s="6">
        <f>42560553/1000000</f>
        <v>42.560552999999999</v>
      </c>
      <c r="AF47" s="6">
        <f>36811928/1000000</f>
        <v>36.811928000000002</v>
      </c>
      <c r="AG47" s="6">
        <f>+BS_Non_Life!B47</f>
        <v>232.37540100000001</v>
      </c>
      <c r="AH47" s="6">
        <f>+BS_Non_Life!C47</f>
        <v>532.85</v>
      </c>
      <c r="AI47" s="6">
        <f>+(32103569+47402558)/1000000</f>
        <v>79.506127000000006</v>
      </c>
      <c r="AJ47" s="6">
        <f>+BS_Non_Life!H47</f>
        <v>951.06868299999996</v>
      </c>
    </row>
    <row r="48" spans="1:36" ht="20.100000000000001" customHeight="1" x14ac:dyDescent="0.2">
      <c r="A48" s="7" t="s">
        <v>166</v>
      </c>
      <c r="B48" s="6">
        <f>+(142445159+5203264)/1000000</f>
        <v>147.64842300000001</v>
      </c>
      <c r="C48" s="6">
        <f>+(149264780+17818187)/1000000</f>
        <v>167.082967</v>
      </c>
      <c r="D48" s="6">
        <f>+(54600686+2552343)/1000000</f>
        <v>57.153028999999997</v>
      </c>
      <c r="E48" s="6">
        <f>+(51833530+23304103)/1000000</f>
        <v>75.137632999999994</v>
      </c>
      <c r="F48" s="6">
        <f t="shared" si="0"/>
        <v>447.02205200000003</v>
      </c>
      <c r="G48" s="6">
        <f>+(59978771+1028852)/1000000</f>
        <v>61.007623000000002</v>
      </c>
      <c r="H48" s="6">
        <f>+(112195561+4184270)/1000000</f>
        <v>116.379831</v>
      </c>
      <c r="I48" s="6">
        <f>+(53704361+2489710)/1000000</f>
        <v>56.194071000000001</v>
      </c>
      <c r="J48" s="6">
        <f>+(32991040+1072317)/1000000</f>
        <v>34.063357000000003</v>
      </c>
      <c r="K48" s="6">
        <f t="shared" si="1"/>
        <v>267.644882</v>
      </c>
      <c r="L48" s="6">
        <f>+(22273522+112386)/1000000</f>
        <v>22.385908000000001</v>
      </c>
      <c r="M48" s="6">
        <f>+(26377143+887738)/1000000</f>
        <v>27.264880999999999</v>
      </c>
      <c r="N48" s="6">
        <f>+(10075351+125452)/1000000</f>
        <v>10.200803000000001</v>
      </c>
      <c r="O48" s="6">
        <f>+(6357885+83696)/1000000</f>
        <v>6.4415810000000002</v>
      </c>
      <c r="P48" s="6">
        <f t="shared" si="2"/>
        <v>66.29317300000001</v>
      </c>
      <c r="Q48" s="6">
        <f>+(1365812+112386)/1000000</f>
        <v>1.4781979999999999</v>
      </c>
      <c r="R48" s="6">
        <f>+(21183773+887738)/1000000</f>
        <v>22.071511000000001</v>
      </c>
      <c r="S48" s="6">
        <f>+(10075351+125452)/1000000</f>
        <v>10.200803000000001</v>
      </c>
      <c r="T48" s="6">
        <f>+(4730090+83696)/1000000</f>
        <v>4.8137860000000003</v>
      </c>
      <c r="U48" s="6">
        <f t="shared" si="3"/>
        <v>38.564298000000001</v>
      </c>
      <c r="V48" s="6">
        <f>12549703/1000000</f>
        <v>12.549702999999999</v>
      </c>
      <c r="W48" s="6">
        <f>16633117/1000000</f>
        <v>16.633116999999999</v>
      </c>
      <c r="X48" s="6">
        <f>12714280/1000000</f>
        <v>12.71428</v>
      </c>
      <c r="Y48" s="6">
        <f>2645155/1000000</f>
        <v>2.6451549999999999</v>
      </c>
      <c r="Z48" s="6">
        <f>SUM(V48:Y48)</f>
        <v>44.542255000000004</v>
      </c>
      <c r="AA48" s="6">
        <f>127401280/1000000</f>
        <v>127.40128</v>
      </c>
      <c r="AB48" s="6">
        <f>26200000/1000000</f>
        <v>26.2</v>
      </c>
      <c r="AC48" s="6">
        <f>46200000/1000000</f>
        <v>46.2</v>
      </c>
      <c r="AD48" s="6">
        <f>+(26764488+4000000)/1000000</f>
        <v>30.764488</v>
      </c>
      <c r="AE48" s="6">
        <f>438730804/1000000</f>
        <v>438.73080399999998</v>
      </c>
      <c r="AF48" s="6">
        <f>413579018/1000000</f>
        <v>413.57901800000002</v>
      </c>
      <c r="AG48" s="6">
        <f>+BS_Non_Life!B48</f>
        <v>634.47148300000003</v>
      </c>
      <c r="AH48" s="6">
        <f>+BS_Non_Life!C48</f>
        <v>399.85</v>
      </c>
      <c r="AI48" s="6">
        <f>91495536/1000000</f>
        <v>91.495536000000001</v>
      </c>
      <c r="AJ48" s="6">
        <f>+BS_Non_Life!H48</f>
        <v>1496.1486320000001</v>
      </c>
    </row>
    <row r="49" spans="1:36" ht="20.100000000000001" customHeight="1" x14ac:dyDescent="0.2">
      <c r="A49" s="7" t="s">
        <v>167</v>
      </c>
      <c r="B49" s="6">
        <f>+(127301286+3794449)/1000000</f>
        <v>131.09573499999999</v>
      </c>
      <c r="C49" s="6">
        <f>+(141787383+14595741+637519+186676)/1000000</f>
        <v>157.20731900000001</v>
      </c>
      <c r="D49" s="6">
        <f>+(11517222+2036238)/1000000</f>
        <v>13.553459999999999</v>
      </c>
      <c r="E49" s="6">
        <f>+(5353748+17058465)/1000000</f>
        <v>22.412213000000001</v>
      </c>
      <c r="F49" s="6">
        <f t="shared" si="0"/>
        <v>324.26872699999996</v>
      </c>
      <c r="G49" s="6">
        <f>121375855/1000000</f>
        <v>121.375855</v>
      </c>
      <c r="H49" s="6">
        <f>+(140998589+3685)/1000000</f>
        <v>141.002274</v>
      </c>
      <c r="I49" s="6">
        <f>13490828/1000000</f>
        <v>13.490828</v>
      </c>
      <c r="J49" s="6">
        <f>5855717/1000000</f>
        <v>5.8557170000000003</v>
      </c>
      <c r="K49" s="6">
        <f t="shared" si="1"/>
        <v>281.72467400000005</v>
      </c>
      <c r="L49" s="6">
        <f>+(77218790+168610)/1000000</f>
        <v>77.3874</v>
      </c>
      <c r="M49" s="6">
        <f>+(1449114+5759588+5500899+0)/1000000</f>
        <v>12.709600999999999</v>
      </c>
      <c r="N49" s="6">
        <f>+(12142391+106406)/1000000</f>
        <v>12.248797</v>
      </c>
      <c r="O49" s="6">
        <f>+(1100000+10739787)/1000000</f>
        <v>11.839786999999999</v>
      </c>
      <c r="P49" s="6">
        <f t="shared" si="2"/>
        <v>114.185585</v>
      </c>
      <c r="Q49" s="6">
        <f>77387400/1000000</f>
        <v>77.3874</v>
      </c>
      <c r="R49" s="6">
        <f>+(2377888+5500899)/1000000</f>
        <v>7.878787</v>
      </c>
      <c r="S49" s="6">
        <f>12248797/1000000</f>
        <v>12.248797</v>
      </c>
      <c r="T49" s="6">
        <f>1175752/1000000</f>
        <v>1.1757519999999999</v>
      </c>
      <c r="U49" s="6">
        <f t="shared" si="3"/>
        <v>98.690736000000001</v>
      </c>
      <c r="V49" s="6">
        <f>52246090/1000000</f>
        <v>52.246090000000002</v>
      </c>
      <c r="W49" s="6">
        <f>+(53785953-32889)/1000000</f>
        <v>53.753064000000002</v>
      </c>
      <c r="X49" s="6">
        <f>12811309/1000000</f>
        <v>12.811309</v>
      </c>
      <c r="Y49" s="6">
        <f>3677502/1000000</f>
        <v>3.677502</v>
      </c>
      <c r="Z49" s="6">
        <f t="shared" si="4"/>
        <v>122.487965</v>
      </c>
      <c r="AA49" s="6">
        <f>84257442/1000000</f>
        <v>84.257441999999998</v>
      </c>
      <c r="AB49" s="6">
        <f>(35809413+310500)/1000000</f>
        <v>36.119912999999997</v>
      </c>
      <c r="AC49" s="6">
        <v>0</v>
      </c>
      <c r="AD49" s="6">
        <v>0</v>
      </c>
      <c r="AE49" s="6">
        <f>196703/1000000</f>
        <v>0.19670299999999999</v>
      </c>
      <c r="AF49" s="6">
        <f>160799/1000000</f>
        <v>0.160799</v>
      </c>
      <c r="AG49" s="6">
        <f>+BS_Non_Life!B49</f>
        <v>25</v>
      </c>
      <c r="AH49" s="6">
        <f>+BS_Non_Life!C49</f>
        <v>83.398171000000005</v>
      </c>
      <c r="AI49" s="6">
        <f>4415212/1000000</f>
        <v>4.4152120000000004</v>
      </c>
      <c r="AJ49" s="6">
        <f>+BS_Non_Life!H49</f>
        <v>694.863383</v>
      </c>
    </row>
    <row r="50" spans="1:36" ht="20.100000000000001" customHeight="1" x14ac:dyDescent="0.2">
      <c r="A50" s="5" t="s">
        <v>92</v>
      </c>
      <c r="B50" s="6">
        <f t="shared" ref="B50:Z50" si="5">SUM(B5:B49)</f>
        <v>11614.120330980002</v>
      </c>
      <c r="C50" s="6">
        <f t="shared" si="5"/>
        <v>9273.2425472099967</v>
      </c>
      <c r="D50" s="6">
        <f t="shared" si="5"/>
        <v>3470.3690808000001</v>
      </c>
      <c r="E50" s="6">
        <f t="shared" si="5"/>
        <v>3015.4358258000002</v>
      </c>
      <c r="F50" s="6">
        <f t="shared" si="5"/>
        <v>27373.167784789999</v>
      </c>
      <c r="G50" s="6">
        <f t="shared" si="5"/>
        <v>4510.4061343199992</v>
      </c>
      <c r="H50" s="6">
        <f t="shared" si="5"/>
        <v>6472.0332212099993</v>
      </c>
      <c r="I50" s="6">
        <f t="shared" si="5"/>
        <v>3293.5857857999999</v>
      </c>
      <c r="J50" s="6">
        <f t="shared" si="5"/>
        <v>1029.1529743999999</v>
      </c>
      <c r="K50" s="6">
        <f>SUM(K5:K49)</f>
        <v>15305.178115729999</v>
      </c>
      <c r="L50" s="6">
        <f t="shared" si="5"/>
        <v>3402.1621184700002</v>
      </c>
      <c r="M50" s="6">
        <f t="shared" si="5"/>
        <v>1434.2694687300004</v>
      </c>
      <c r="N50" s="6">
        <f t="shared" si="5"/>
        <v>933.60011655999972</v>
      </c>
      <c r="O50" s="6">
        <f t="shared" si="5"/>
        <v>692.52093869999987</v>
      </c>
      <c r="P50" s="6">
        <f t="shared" si="5"/>
        <v>6462.5526424600002</v>
      </c>
      <c r="Q50" s="6">
        <f t="shared" si="5"/>
        <v>1292.0595257699999</v>
      </c>
      <c r="R50" s="6">
        <f t="shared" si="5"/>
        <v>833.73081021999997</v>
      </c>
      <c r="S50" s="6">
        <f t="shared" si="5"/>
        <v>909.79910355999982</v>
      </c>
      <c r="T50" s="6">
        <f t="shared" si="5"/>
        <v>243.45957949999993</v>
      </c>
      <c r="U50" s="6">
        <f t="shared" si="5"/>
        <v>3279.0490190499991</v>
      </c>
      <c r="V50" s="6">
        <f t="shared" si="5"/>
        <v>168.06819999999999</v>
      </c>
      <c r="W50" s="6">
        <f t="shared" si="5"/>
        <v>2124.5361830000006</v>
      </c>
      <c r="X50" s="6">
        <f t="shared" si="5"/>
        <v>884.83564600000022</v>
      </c>
      <c r="Y50" s="6">
        <f>SUM(Y5:Y49)</f>
        <v>180.67014799999998</v>
      </c>
      <c r="Z50" s="6">
        <f t="shared" si="5"/>
        <v>3358.1101770000005</v>
      </c>
      <c r="AA50" s="6">
        <f t="shared" ref="AA50:AI50" si="6">SUM(AA5:AA49)</f>
        <v>4670.0224990000006</v>
      </c>
      <c r="AB50" s="6">
        <f t="shared" si="6"/>
        <v>1030.5641120000003</v>
      </c>
      <c r="AC50" s="6">
        <f t="shared" si="6"/>
        <v>1315.7781519999999</v>
      </c>
      <c r="AD50" s="6">
        <f t="shared" si="6"/>
        <v>2522.1247839999992</v>
      </c>
      <c r="AE50" s="6">
        <f t="shared" si="6"/>
        <v>3541.4519449999998</v>
      </c>
      <c r="AF50" s="6">
        <f t="shared" si="6"/>
        <v>2580.9189740000002</v>
      </c>
      <c r="AG50" s="6">
        <f t="shared" si="6"/>
        <v>16676.360815</v>
      </c>
      <c r="AH50" s="6">
        <f t="shared" si="6"/>
        <v>21873.680992999998</v>
      </c>
      <c r="AI50" s="6">
        <f t="shared" si="6"/>
        <v>2889.7011630000006</v>
      </c>
      <c r="AJ50" s="6">
        <f>+BS_Non_Life!H50</f>
        <v>75307.571981000016</v>
      </c>
    </row>
    <row r="51" spans="1:36" s="39" customFormat="1" ht="20.100000000000001" customHeight="1" x14ac:dyDescent="0.2">
      <c r="A51" s="7" t="s">
        <v>168</v>
      </c>
      <c r="B51" s="6">
        <f>+(312046515+3956336596+1150901)/1000000</f>
        <v>4269.5340120000001</v>
      </c>
      <c r="C51" s="6">
        <f>+(786326733+1528397613+4024548)/1000000</f>
        <v>2318.7488939999998</v>
      </c>
      <c r="D51" s="6">
        <f>+(143386424)/1000000</f>
        <v>143.38642400000001</v>
      </c>
      <c r="E51" s="6">
        <f>+(1144804819+1438868232)/1000000</f>
        <v>2583.6730510000002</v>
      </c>
      <c r="F51" s="6">
        <f>SUM(B51:E51)</f>
        <v>9315.3423810000004</v>
      </c>
      <c r="G51" s="6">
        <f>3195890334/1000000</f>
        <v>3195.8903340000002</v>
      </c>
      <c r="H51" s="6">
        <f>2017020697/1000000</f>
        <v>2017.0206969999999</v>
      </c>
      <c r="I51" s="6">
        <f>143386424/1000000</f>
        <v>143.38642400000001</v>
      </c>
      <c r="J51" s="6">
        <f>503916595/1000000</f>
        <v>503.91659499999997</v>
      </c>
      <c r="K51" s="6">
        <f>SUM(G51:J51)</f>
        <v>5860.2140499999996</v>
      </c>
      <c r="L51" s="6">
        <f>+(199309794+1145830265+12480290)/1000000</f>
        <v>1357.620349</v>
      </c>
      <c r="M51" s="6">
        <f>+(165436068+272411113+4334733)/1000000</f>
        <v>442.18191400000001</v>
      </c>
      <c r="N51" s="6">
        <f>+(26733280)/1000000</f>
        <v>26.733280000000001</v>
      </c>
      <c r="O51" s="6">
        <f>+(833702683+840866622)/1000000</f>
        <v>1674.569305</v>
      </c>
      <c r="P51" s="6">
        <f>SUM(L51:O51)</f>
        <v>3501.1048479999999</v>
      </c>
      <c r="Q51" s="6">
        <f>-328067241/1000000</f>
        <v>-328.06724100000002</v>
      </c>
      <c r="R51" s="6">
        <f>186000971/1000000</f>
        <v>186.00097099999999</v>
      </c>
      <c r="S51" s="6">
        <f>35428982/1000000</f>
        <v>35.428981999999998</v>
      </c>
      <c r="T51" s="6">
        <f>230910917/1000000</f>
        <v>230.91091700000001</v>
      </c>
      <c r="U51" s="6">
        <f>SUM(Q51:T51)</f>
        <v>124.27362899999997</v>
      </c>
      <c r="V51" s="6">
        <f>408431141/1000000</f>
        <v>408.43114100000003</v>
      </c>
      <c r="W51" s="6">
        <f>1016817680/1000000</f>
        <v>1016.81768</v>
      </c>
      <c r="X51" s="6">
        <f>78181391/1000000</f>
        <v>78.181391000000005</v>
      </c>
      <c r="Y51" s="6">
        <f>275459303/1000000</f>
        <v>275.45930299999998</v>
      </c>
      <c r="Z51" s="6">
        <f>SUM(V51:Y51)</f>
        <v>1778.8895150000003</v>
      </c>
      <c r="AA51" s="6">
        <f>2123035974/1000000</f>
        <v>2123.0359739999999</v>
      </c>
      <c r="AB51" s="6">
        <f>894267191/1000000</f>
        <v>894.26719100000003</v>
      </c>
      <c r="AC51" s="6">
        <v>0</v>
      </c>
      <c r="AD51" s="6">
        <f>+(14765585691-13042549717)/1000000</f>
        <v>1723.0359739999999</v>
      </c>
      <c r="AE51" s="6">
        <v>0</v>
      </c>
      <c r="AF51" s="6">
        <f>2952291701/1000000</f>
        <v>2952.2917010000001</v>
      </c>
      <c r="AG51" s="6">
        <f>+BS_Non_Life!B51</f>
        <v>4818.679682</v>
      </c>
      <c r="AH51" s="6">
        <f>+BS_Non_Life!C51</f>
        <v>9148.4310000000005</v>
      </c>
      <c r="AI51" s="6">
        <f>1388175558/1000000</f>
        <v>1388.1755579999999</v>
      </c>
      <c r="AJ51" s="6">
        <f>+BS_Non_Life!H51</f>
        <v>33984.456228999996</v>
      </c>
    </row>
    <row r="52" spans="1:36" ht="20.100000000000001" customHeight="1" x14ac:dyDescent="0.2">
      <c r="A52" s="5" t="s">
        <v>94</v>
      </c>
      <c r="B52" s="6">
        <f t="shared" ref="B52:Z52" si="7">+B50+B51</f>
        <v>15883.654342980002</v>
      </c>
      <c r="C52" s="6">
        <f t="shared" si="7"/>
        <v>11591.991441209997</v>
      </c>
      <c r="D52" s="6">
        <f t="shared" si="7"/>
        <v>3613.7555047999999</v>
      </c>
      <c r="E52" s="6">
        <f t="shared" si="7"/>
        <v>5599.1088768000009</v>
      </c>
      <c r="F52" s="6">
        <f t="shared" si="7"/>
        <v>36688.510165790001</v>
      </c>
      <c r="G52" s="6">
        <f t="shared" si="7"/>
        <v>7706.2964683199989</v>
      </c>
      <c r="H52" s="6">
        <f t="shared" si="7"/>
        <v>8489.0539182100001</v>
      </c>
      <c r="I52" s="6">
        <f t="shared" si="7"/>
        <v>3436.9722097999997</v>
      </c>
      <c r="J52" s="6">
        <f t="shared" si="7"/>
        <v>1533.0695693999999</v>
      </c>
      <c r="K52" s="6">
        <f t="shared" si="7"/>
        <v>21165.392165729998</v>
      </c>
      <c r="L52" s="6">
        <f t="shared" si="7"/>
        <v>4759.7824674700005</v>
      </c>
      <c r="M52" s="6">
        <f t="shared" si="7"/>
        <v>1876.4513827300004</v>
      </c>
      <c r="N52" s="6">
        <f t="shared" si="7"/>
        <v>960.33339655999976</v>
      </c>
      <c r="O52" s="6">
        <f t="shared" si="7"/>
        <v>2367.0902437</v>
      </c>
      <c r="P52" s="6">
        <f t="shared" si="7"/>
        <v>9963.6574904600002</v>
      </c>
      <c r="Q52" s="6">
        <f t="shared" si="7"/>
        <v>963.99228476999997</v>
      </c>
      <c r="R52" s="6">
        <f t="shared" si="7"/>
        <v>1019.7317812199999</v>
      </c>
      <c r="S52" s="6">
        <f t="shared" si="7"/>
        <v>945.22808555999984</v>
      </c>
      <c r="T52" s="6">
        <f t="shared" si="7"/>
        <v>474.37049649999994</v>
      </c>
      <c r="U52" s="6">
        <f t="shared" si="7"/>
        <v>3403.3226480499989</v>
      </c>
      <c r="V52" s="6">
        <f t="shared" si="7"/>
        <v>576.49934099999996</v>
      </c>
      <c r="W52" s="6">
        <f t="shared" si="7"/>
        <v>3141.3538630000007</v>
      </c>
      <c r="X52" s="6">
        <f t="shared" si="7"/>
        <v>963.01703700000019</v>
      </c>
      <c r="Y52" s="6">
        <f t="shared" si="7"/>
        <v>456.12945099999996</v>
      </c>
      <c r="Z52" s="6">
        <f t="shared" si="7"/>
        <v>5136.9996920000012</v>
      </c>
      <c r="AA52" s="6">
        <f t="shared" ref="AA52:AI52" si="8">+AA50+AA51</f>
        <v>6793.058473000001</v>
      </c>
      <c r="AB52" s="6">
        <f t="shared" si="8"/>
        <v>1924.8313030000004</v>
      </c>
      <c r="AC52" s="6">
        <f t="shared" si="8"/>
        <v>1315.7781519999999</v>
      </c>
      <c r="AD52" s="6">
        <f t="shared" si="8"/>
        <v>4245.1607579999991</v>
      </c>
      <c r="AE52" s="6">
        <f t="shared" si="8"/>
        <v>3541.4519449999998</v>
      </c>
      <c r="AF52" s="6">
        <f t="shared" si="8"/>
        <v>5533.2106750000003</v>
      </c>
      <c r="AG52" s="6">
        <f t="shared" si="8"/>
        <v>21495.040497000002</v>
      </c>
      <c r="AH52" s="6">
        <f t="shared" si="8"/>
        <v>31022.111992999999</v>
      </c>
      <c r="AI52" s="6">
        <f t="shared" si="8"/>
        <v>4277.8767210000005</v>
      </c>
      <c r="AJ52" s="6">
        <f>+BS_Non_Life!H52</f>
        <v>109292.02821000002</v>
      </c>
    </row>
  </sheetData>
  <mergeCells count="16">
    <mergeCell ref="A3:A4"/>
    <mergeCell ref="B3:F3"/>
    <mergeCell ref="G3:K3"/>
    <mergeCell ref="L3:P3"/>
    <mergeCell ref="Q3:U3"/>
    <mergeCell ref="V3:Z3"/>
    <mergeCell ref="AG3:AG4"/>
    <mergeCell ref="AH3:AH4"/>
    <mergeCell ref="AI3:AI4"/>
    <mergeCell ref="AJ3:AJ4"/>
    <mergeCell ref="AA3:AA4"/>
    <mergeCell ref="AB3:AB4"/>
    <mergeCell ref="AC3:AC4"/>
    <mergeCell ref="AD3:AD4"/>
    <mergeCell ref="AE3:AE4"/>
    <mergeCell ref="AF3:AF4"/>
  </mergeCells>
  <pageMargins left="0.7" right="0.7" top="0.75" bottom="0.75" header="0.3" footer="0.3"/>
  <pageSetup firstPageNumber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sqref="A1:C29"/>
    </sheetView>
  </sheetViews>
  <sheetFormatPr defaultRowHeight="15" x14ac:dyDescent="0.2"/>
  <cols>
    <col min="1" max="1" width="47.140625" style="8" customWidth="1"/>
    <col min="2" max="2" width="21.5703125" style="8" customWidth="1"/>
    <col min="3" max="3" width="17.85546875" style="8" customWidth="1"/>
    <col min="4" max="16384" width="9.140625" style="8"/>
  </cols>
  <sheetData>
    <row r="1" spans="1:3" x14ac:dyDescent="0.2">
      <c r="A1" s="64" t="s">
        <v>47</v>
      </c>
      <c r="B1" s="71"/>
      <c r="C1" s="71"/>
    </row>
    <row r="2" spans="1:3" x14ac:dyDescent="0.2">
      <c r="A2" s="64" t="s">
        <v>48</v>
      </c>
      <c r="B2" s="71"/>
      <c r="C2" s="71"/>
    </row>
    <row r="3" spans="1:3" x14ac:dyDescent="0.2">
      <c r="A3" s="64" t="s">
        <v>49</v>
      </c>
      <c r="B3" s="71"/>
      <c r="C3" s="71"/>
    </row>
    <row r="4" spans="1:3" x14ac:dyDescent="0.2">
      <c r="A4" s="72"/>
      <c r="B4" s="72"/>
      <c r="C4" s="72"/>
    </row>
    <row r="5" spans="1:3" x14ac:dyDescent="0.2">
      <c r="A5" s="73"/>
      <c r="B5" s="118" t="s">
        <v>0</v>
      </c>
      <c r="C5" s="119"/>
    </row>
    <row r="6" spans="1:3" ht="21.75" customHeight="1" x14ac:dyDescent="0.2">
      <c r="A6" s="122" t="s">
        <v>1</v>
      </c>
      <c r="B6" s="120" t="s">
        <v>2</v>
      </c>
      <c r="C6" s="121"/>
    </row>
    <row r="7" spans="1:3" ht="26.25" customHeight="1" x14ac:dyDescent="0.2">
      <c r="A7" s="123"/>
      <c r="B7" s="74">
        <v>2017</v>
      </c>
      <c r="C7" s="66">
        <v>2016</v>
      </c>
    </row>
    <row r="8" spans="1:3" ht="37.5" customHeight="1" x14ac:dyDescent="0.2">
      <c r="A8" s="75" t="s">
        <v>50</v>
      </c>
      <c r="B8" s="76">
        <f>+Growth_Life!C38</f>
        <v>289904.88310499996</v>
      </c>
      <c r="C8" s="77">
        <v>279434.65443</v>
      </c>
    </row>
    <row r="9" spans="1:3" ht="20.100000000000001" customHeight="1" x14ac:dyDescent="0.2">
      <c r="A9" s="78" t="s">
        <v>3</v>
      </c>
      <c r="B9" s="79"/>
      <c r="C9" s="80"/>
    </row>
    <row r="10" spans="1:3" ht="20.100000000000001" customHeight="1" x14ac:dyDescent="0.2">
      <c r="A10" s="81" t="s">
        <v>4</v>
      </c>
      <c r="B10" s="82">
        <f>+Achiv_Life!B38</f>
        <v>23946.519665999997</v>
      </c>
      <c r="C10" s="69">
        <v>21424.144400000001</v>
      </c>
    </row>
    <row r="11" spans="1:3" ht="20.100000000000001" customHeight="1" x14ac:dyDescent="0.2">
      <c r="A11" s="81" t="s">
        <v>5</v>
      </c>
      <c r="B11" s="82">
        <f>+Achiv_Life!C38</f>
        <v>52578.783098</v>
      </c>
      <c r="C11" s="69">
        <v>51188.714399999997</v>
      </c>
    </row>
    <row r="12" spans="1:3" ht="20.100000000000001" customHeight="1" x14ac:dyDescent="0.2">
      <c r="A12" s="81" t="s">
        <v>6</v>
      </c>
      <c r="B12" s="82">
        <f>+Achiv_Life!D38</f>
        <v>4728.119318</v>
      </c>
      <c r="C12" s="68">
        <v>2450.5944</v>
      </c>
    </row>
    <row r="13" spans="1:3" ht="20.100000000000001" customHeight="1" x14ac:dyDescent="0.2">
      <c r="A13" s="83"/>
      <c r="B13" s="82"/>
      <c r="C13" s="80"/>
    </row>
    <row r="14" spans="1:3" ht="20.100000000000001" customHeight="1" x14ac:dyDescent="0.2">
      <c r="A14" s="84" t="s">
        <v>7</v>
      </c>
      <c r="B14" s="85">
        <f>SUM(B10:B12)</f>
        <v>81253.42208199999</v>
      </c>
      <c r="C14" s="60">
        <f>SUM(C10:C12)</f>
        <v>75063.453200000004</v>
      </c>
    </row>
    <row r="15" spans="1:3" ht="20.100000000000001" customHeight="1" x14ac:dyDescent="0.2">
      <c r="A15" s="83"/>
      <c r="B15" s="82"/>
      <c r="C15" s="80"/>
    </row>
    <row r="16" spans="1:3" ht="20.100000000000001" customHeight="1" x14ac:dyDescent="0.2">
      <c r="A16" s="81" t="s">
        <v>8</v>
      </c>
      <c r="B16" s="85">
        <f>-(Achiv_Life!E38-Achiv_Life!F38)</f>
        <v>-306.00446600004216</v>
      </c>
      <c r="C16" s="77">
        <v>-210.41</v>
      </c>
    </row>
    <row r="17" spans="1:3" ht="20.100000000000001" customHeight="1" x14ac:dyDescent="0.2">
      <c r="A17" s="83"/>
      <c r="B17" s="82"/>
      <c r="C17" s="80"/>
    </row>
    <row r="18" spans="1:3" ht="20.100000000000001" customHeight="1" x14ac:dyDescent="0.2">
      <c r="A18" s="67" t="s">
        <v>9</v>
      </c>
      <c r="B18" s="60">
        <f>+B14+B16</f>
        <v>80947.417615999948</v>
      </c>
      <c r="C18" s="60">
        <f>+C14+C16</f>
        <v>74853.0432</v>
      </c>
    </row>
    <row r="19" spans="1:3" ht="20.100000000000001" customHeight="1" x14ac:dyDescent="0.2">
      <c r="A19" s="67"/>
      <c r="B19" s="60"/>
      <c r="C19" s="60"/>
    </row>
    <row r="20" spans="1:3" ht="20.100000000000001" customHeight="1" x14ac:dyDescent="0.2">
      <c r="A20" s="81" t="s">
        <v>232</v>
      </c>
      <c r="B20" s="85">
        <f>+RA_Life!M38</f>
        <v>25755.236790999996</v>
      </c>
      <c r="C20" s="77">
        <v>25270.01</v>
      </c>
    </row>
    <row r="21" spans="1:3" ht="20.100000000000001" customHeight="1" x14ac:dyDescent="0.2">
      <c r="A21" s="83"/>
      <c r="B21" s="82"/>
      <c r="C21" s="80"/>
    </row>
    <row r="22" spans="1:3" ht="20.100000000000001" customHeight="1" x14ac:dyDescent="0.2">
      <c r="A22" s="84" t="s">
        <v>10</v>
      </c>
      <c r="B22" s="85">
        <f>+B8+B18+B20</f>
        <v>396607.53751199989</v>
      </c>
      <c r="C22" s="60">
        <f>+C8+C18+C20</f>
        <v>379557.70763000002</v>
      </c>
    </row>
    <row r="23" spans="1:3" ht="20.100000000000001" customHeight="1" x14ac:dyDescent="0.2">
      <c r="A23" s="83"/>
      <c r="B23" s="82"/>
      <c r="C23" s="86"/>
    </row>
    <row r="24" spans="1:3" ht="20.100000000000001" customHeight="1" x14ac:dyDescent="0.2">
      <c r="A24" s="81" t="s">
        <v>11</v>
      </c>
      <c r="B24" s="82">
        <f>+RA_Life!B38</f>
        <v>56431.493862000003</v>
      </c>
      <c r="C24" s="69">
        <v>54148.33</v>
      </c>
    </row>
    <row r="25" spans="1:3" ht="20.100000000000001" customHeight="1" x14ac:dyDescent="0.2">
      <c r="A25" s="81" t="s">
        <v>12</v>
      </c>
      <c r="B25" s="82">
        <f>+RA_Life!C38</f>
        <v>5036.9805889999989</v>
      </c>
      <c r="C25" s="69">
        <v>5677.51</v>
      </c>
    </row>
    <row r="26" spans="1:3" ht="20.100000000000001" customHeight="1" x14ac:dyDescent="0.2">
      <c r="A26" s="81" t="s">
        <v>13</v>
      </c>
      <c r="B26" s="82">
        <f>+RA_Life!D38</f>
        <v>9302.8402310000001</v>
      </c>
      <c r="C26" s="69">
        <v>8417.74</v>
      </c>
    </row>
    <row r="27" spans="1:3" ht="20.100000000000001" customHeight="1" x14ac:dyDescent="0.2">
      <c r="A27" s="81" t="s">
        <v>14</v>
      </c>
      <c r="B27" s="82">
        <f>+RA_Life!E38</f>
        <v>15204.517044000002</v>
      </c>
      <c r="C27" s="69">
        <v>18830.64</v>
      </c>
    </row>
    <row r="28" spans="1:3" ht="20.100000000000001" customHeight="1" x14ac:dyDescent="0.2">
      <c r="A28" s="84" t="s">
        <v>15</v>
      </c>
      <c r="B28" s="85">
        <f>SUM(B24:B27)</f>
        <v>85975.831726000004</v>
      </c>
      <c r="C28" s="60">
        <f>SUM(C24:C27)</f>
        <v>87074.22</v>
      </c>
    </row>
    <row r="29" spans="1:3" ht="20.100000000000001" customHeight="1" x14ac:dyDescent="0.2">
      <c r="A29" s="84" t="s">
        <v>16</v>
      </c>
      <c r="B29" s="85">
        <f>+B22-B28</f>
        <v>310631.70578599989</v>
      </c>
      <c r="C29" s="60">
        <f>+C22-C28</f>
        <v>292483.48762999999</v>
      </c>
    </row>
  </sheetData>
  <mergeCells count="3">
    <mergeCell ref="B5:C5"/>
    <mergeCell ref="B6:C6"/>
    <mergeCell ref="A6:A7"/>
  </mergeCells>
  <pageMargins left="0.7" right="0.7" top="0.75" bottom="0.75" header="0.3" footer="0.3"/>
  <pageSetup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1"/>
  <sheetViews>
    <sheetView topLeftCell="A28" workbookViewId="0">
      <selection activeCell="A32" sqref="A32:C32"/>
    </sheetView>
  </sheetViews>
  <sheetFormatPr defaultRowHeight="12.75" x14ac:dyDescent="0.2"/>
  <cols>
    <col min="1" max="1" width="11.7109375" style="12" customWidth="1"/>
    <col min="2" max="2" width="31" style="12" customWidth="1"/>
    <col min="3" max="3" width="15" style="12" customWidth="1"/>
    <col min="4" max="4" width="16.28515625" style="12" customWidth="1"/>
    <col min="5" max="5" width="17.5703125" style="12" customWidth="1"/>
    <col min="6" max="16384" width="9.140625" style="12"/>
  </cols>
  <sheetData>
    <row r="1" spans="1:5" ht="14.25" x14ac:dyDescent="0.2">
      <c r="A1" s="70" t="s">
        <v>35</v>
      </c>
      <c r="B1" s="88"/>
      <c r="C1" s="88"/>
      <c r="D1" s="88"/>
      <c r="E1" s="88"/>
    </row>
    <row r="2" spans="1:5" ht="14.25" x14ac:dyDescent="0.2">
      <c r="A2" s="70" t="s">
        <v>51</v>
      </c>
      <c r="B2" s="88"/>
      <c r="C2" s="88"/>
      <c r="D2" s="88"/>
      <c r="E2" s="88"/>
    </row>
    <row r="3" spans="1:5" ht="14.25" x14ac:dyDescent="0.2">
      <c r="A3" s="70" t="s">
        <v>52</v>
      </c>
      <c r="B3" s="93"/>
      <c r="C3" s="93"/>
      <c r="D3" s="88"/>
      <c r="E3" s="88"/>
    </row>
    <row r="4" spans="1:5" ht="5.25" customHeight="1" x14ac:dyDescent="0.2">
      <c r="A4" s="87"/>
      <c r="B4" s="89"/>
      <c r="C4" s="89"/>
      <c r="D4" s="50"/>
      <c r="E4" s="50"/>
    </row>
    <row r="5" spans="1:5" x14ac:dyDescent="0.2">
      <c r="A5" s="51"/>
      <c r="B5" s="51"/>
      <c r="C5" s="51"/>
      <c r="D5" s="106" t="s">
        <v>0</v>
      </c>
      <c r="E5" s="106"/>
    </row>
    <row r="6" spans="1:5" x14ac:dyDescent="0.2">
      <c r="A6" s="109" t="s">
        <v>1</v>
      </c>
      <c r="B6" s="109"/>
      <c r="C6" s="55">
        <v>2017</v>
      </c>
      <c r="D6" s="66">
        <v>2016</v>
      </c>
      <c r="E6" s="55" t="s">
        <v>53</v>
      </c>
    </row>
    <row r="7" spans="1:5" ht="20.100000000000001" customHeight="1" x14ac:dyDescent="0.2">
      <c r="A7" s="111" t="s">
        <v>31</v>
      </c>
      <c r="B7" s="112"/>
      <c r="C7" s="112"/>
      <c r="D7" s="112"/>
      <c r="E7" s="113"/>
    </row>
    <row r="8" spans="1:5" ht="20.100000000000001" customHeight="1" x14ac:dyDescent="0.2">
      <c r="A8" s="110" t="s">
        <v>41</v>
      </c>
      <c r="B8" s="110"/>
      <c r="C8" s="52">
        <f>+BS_Non_Life!I52</f>
        <v>18204.153034000006</v>
      </c>
      <c r="D8" s="68">
        <v>17351.8</v>
      </c>
      <c r="E8" s="69">
        <f t="shared" ref="E8:E13" si="0">ROUND((C8-D8)*100/D8,0)</f>
        <v>5</v>
      </c>
    </row>
    <row r="9" spans="1:5" ht="20.100000000000001" customHeight="1" x14ac:dyDescent="0.2">
      <c r="A9" s="129" t="s">
        <v>171</v>
      </c>
      <c r="B9" s="130"/>
      <c r="C9" s="52">
        <f>+BS_Non_Life!J52</f>
        <v>2028.6768749999999</v>
      </c>
      <c r="D9" s="68">
        <v>2028.68</v>
      </c>
      <c r="E9" s="69">
        <f t="shared" si="0"/>
        <v>0</v>
      </c>
    </row>
    <row r="10" spans="1:5" ht="20.100000000000001" customHeight="1" x14ac:dyDescent="0.2">
      <c r="A10" s="110" t="s">
        <v>38</v>
      </c>
      <c r="B10" s="110"/>
      <c r="C10" s="52">
        <f>+BS_Non_Life!L52</f>
        <v>9442.1619910000009</v>
      </c>
      <c r="D10" s="68">
        <v>8602.68</v>
      </c>
      <c r="E10" s="69">
        <f t="shared" si="0"/>
        <v>10</v>
      </c>
    </row>
    <row r="11" spans="1:5" ht="20.100000000000001" customHeight="1" x14ac:dyDescent="0.2">
      <c r="A11" s="110" t="s">
        <v>33</v>
      </c>
      <c r="B11" s="110"/>
      <c r="C11" s="52">
        <f>+BS_Non_Life!K52</f>
        <v>43370.244732000006</v>
      </c>
      <c r="D11" s="68">
        <v>37073.46</v>
      </c>
      <c r="E11" s="69">
        <f t="shared" si="0"/>
        <v>17</v>
      </c>
    </row>
    <row r="12" spans="1:5" ht="20.100000000000001" customHeight="1" x14ac:dyDescent="0.2">
      <c r="A12" s="110" t="s">
        <v>39</v>
      </c>
      <c r="B12" s="110"/>
      <c r="C12" s="52">
        <f>+BS_Non_Life!M52</f>
        <v>36156.790745999999</v>
      </c>
      <c r="D12" s="68">
        <v>30937.27</v>
      </c>
      <c r="E12" s="69">
        <f t="shared" si="0"/>
        <v>17</v>
      </c>
    </row>
    <row r="13" spans="1:5" ht="20.100000000000001" customHeight="1" x14ac:dyDescent="0.2">
      <c r="A13" s="114" t="s">
        <v>40</v>
      </c>
      <c r="B13" s="114"/>
      <c r="C13" s="53">
        <f>SUM(C8:C12)</f>
        <v>109202.02737800001</v>
      </c>
      <c r="D13" s="53">
        <f>SUM(D8:D12)</f>
        <v>95993.89</v>
      </c>
      <c r="E13" s="69">
        <f t="shared" si="0"/>
        <v>14</v>
      </c>
    </row>
    <row r="14" spans="1:5" ht="20.100000000000001" customHeight="1" x14ac:dyDescent="0.2">
      <c r="A14" s="115"/>
      <c r="B14" s="116"/>
      <c r="C14" s="116"/>
      <c r="D14" s="116"/>
      <c r="E14" s="117"/>
    </row>
    <row r="15" spans="1:5" ht="20.100000000000001" customHeight="1" x14ac:dyDescent="0.2">
      <c r="A15" s="111" t="s">
        <v>42</v>
      </c>
      <c r="B15" s="112"/>
      <c r="C15" s="112"/>
      <c r="D15" s="112"/>
      <c r="E15" s="113"/>
    </row>
    <row r="16" spans="1:5" ht="20.100000000000001" customHeight="1" x14ac:dyDescent="0.2">
      <c r="A16" s="110" t="s">
        <v>24</v>
      </c>
      <c r="B16" s="110"/>
      <c r="C16" s="52">
        <f>+BS_Non_Life!B52</f>
        <v>21495.040497000002</v>
      </c>
      <c r="D16" s="52">
        <v>17609.560000000001</v>
      </c>
      <c r="E16" s="69">
        <f t="shared" ref="E16:E22" si="1">ROUND((C16-D16)*100/D16,0)</f>
        <v>22</v>
      </c>
    </row>
    <row r="17" spans="1:5" ht="20.100000000000001" customHeight="1" x14ac:dyDescent="0.2">
      <c r="A17" s="110" t="s">
        <v>25</v>
      </c>
      <c r="B17" s="110"/>
      <c r="C17" s="52">
        <f>+BS_Non_Life!C52</f>
        <v>31022.111992999999</v>
      </c>
      <c r="D17" s="52">
        <v>28022.44</v>
      </c>
      <c r="E17" s="69">
        <f t="shared" si="1"/>
        <v>11</v>
      </c>
    </row>
    <row r="18" spans="1:5" ht="20.100000000000001" customHeight="1" x14ac:dyDescent="0.2">
      <c r="A18" s="110" t="s">
        <v>43</v>
      </c>
      <c r="B18" s="110"/>
      <c r="C18" s="52">
        <f>+BS_Non_Life!F52</f>
        <v>26385.082798999996</v>
      </c>
      <c r="D18" s="52">
        <v>5183.34</v>
      </c>
      <c r="E18" s="69">
        <f t="shared" si="1"/>
        <v>409</v>
      </c>
    </row>
    <row r="19" spans="1:5" ht="20.100000000000001" customHeight="1" x14ac:dyDescent="0.2">
      <c r="A19" s="110" t="s">
        <v>27</v>
      </c>
      <c r="B19" s="110"/>
      <c r="C19" s="52">
        <f>+BS_Non_Life!E52</f>
        <v>11292.640528000002</v>
      </c>
      <c r="D19" s="52">
        <v>25850.17</v>
      </c>
      <c r="E19" s="69">
        <f t="shared" si="1"/>
        <v>-56</v>
      </c>
    </row>
    <row r="20" spans="1:5" ht="20.100000000000001" customHeight="1" x14ac:dyDescent="0.2">
      <c r="A20" s="110" t="s">
        <v>44</v>
      </c>
      <c r="B20" s="110"/>
      <c r="C20" s="52">
        <f>+BS_Non_Life!G52</f>
        <v>14251.292004999998</v>
      </c>
      <c r="D20" s="52">
        <v>13926.19</v>
      </c>
      <c r="E20" s="69">
        <f t="shared" si="1"/>
        <v>2</v>
      </c>
    </row>
    <row r="21" spans="1:5" ht="20.100000000000001" customHeight="1" x14ac:dyDescent="0.2">
      <c r="A21" s="110" t="s">
        <v>45</v>
      </c>
      <c r="B21" s="110"/>
      <c r="C21" s="52">
        <f>+BS_Non_Life!D52</f>
        <v>4845.860388000001</v>
      </c>
      <c r="D21" s="52">
        <v>5402.19</v>
      </c>
      <c r="E21" s="69">
        <f t="shared" si="1"/>
        <v>-10</v>
      </c>
    </row>
    <row r="22" spans="1:5" ht="20.100000000000001" customHeight="1" x14ac:dyDescent="0.2">
      <c r="A22" s="114" t="s">
        <v>46</v>
      </c>
      <c r="B22" s="114"/>
      <c r="C22" s="53">
        <f>SUM(C16:C21)</f>
        <v>109292.02821</v>
      </c>
      <c r="D22" s="53">
        <f>SUM(D16:D21)</f>
        <v>95993.89</v>
      </c>
      <c r="E22" s="69">
        <f t="shared" si="1"/>
        <v>14</v>
      </c>
    </row>
    <row r="23" spans="1:5" ht="20.100000000000001" customHeight="1" x14ac:dyDescent="0.2">
      <c r="A23" s="90"/>
      <c r="B23" s="90"/>
      <c r="C23" s="90"/>
      <c r="D23" s="90"/>
      <c r="E23" s="90"/>
    </row>
    <row r="24" spans="1:5" ht="12" customHeight="1" x14ac:dyDescent="0.2">
      <c r="A24" s="64" t="s">
        <v>47</v>
      </c>
      <c r="B24" s="91"/>
      <c r="C24" s="91"/>
      <c r="D24" s="91"/>
      <c r="E24" s="91"/>
    </row>
    <row r="25" spans="1:5" ht="12" customHeight="1" x14ac:dyDescent="0.2">
      <c r="A25" s="64" t="s">
        <v>54</v>
      </c>
      <c r="B25" s="91"/>
      <c r="C25" s="91"/>
      <c r="D25" s="91"/>
      <c r="E25" s="91"/>
    </row>
    <row r="26" spans="1:5" ht="12" customHeight="1" x14ac:dyDescent="0.2">
      <c r="A26" s="64" t="s">
        <v>49</v>
      </c>
      <c r="B26" s="91"/>
      <c r="C26" s="91"/>
      <c r="D26" s="91"/>
      <c r="E26" s="91"/>
    </row>
    <row r="27" spans="1:5" x14ac:dyDescent="0.2">
      <c r="A27" s="92"/>
      <c r="B27" s="90"/>
      <c r="C27" s="90"/>
      <c r="D27" s="90"/>
      <c r="E27" s="90"/>
    </row>
    <row r="28" spans="1:5" x14ac:dyDescent="0.2">
      <c r="A28" s="49"/>
      <c r="B28" s="90"/>
      <c r="C28" s="90"/>
      <c r="D28" s="106" t="s">
        <v>0</v>
      </c>
      <c r="E28" s="106"/>
    </row>
    <row r="29" spans="1:5" ht="16.5" customHeight="1" x14ac:dyDescent="0.2">
      <c r="A29" s="125" t="s">
        <v>1</v>
      </c>
      <c r="B29" s="126"/>
      <c r="C29" s="127"/>
      <c r="D29" s="109" t="s">
        <v>2</v>
      </c>
      <c r="E29" s="109"/>
    </row>
    <row r="30" spans="1:5" ht="19.5" customHeight="1" x14ac:dyDescent="0.2">
      <c r="A30" s="120"/>
      <c r="B30" s="128"/>
      <c r="C30" s="121"/>
      <c r="D30" s="66">
        <v>2017</v>
      </c>
      <c r="E30" s="66">
        <v>2016</v>
      </c>
    </row>
    <row r="31" spans="1:5" ht="33" customHeight="1" x14ac:dyDescent="0.2">
      <c r="A31" s="110" t="s">
        <v>50</v>
      </c>
      <c r="B31" s="110"/>
      <c r="C31" s="110"/>
      <c r="D31" s="52">
        <f>+RA_Non_Life!H52</f>
        <v>8433.4674590000013</v>
      </c>
      <c r="E31" s="52">
        <v>8251.83</v>
      </c>
    </row>
    <row r="32" spans="1:5" ht="20.100000000000001" customHeight="1" x14ac:dyDescent="0.2">
      <c r="A32" s="110" t="s">
        <v>9</v>
      </c>
      <c r="B32" s="110"/>
      <c r="C32" s="110"/>
      <c r="D32" s="52">
        <f>+RA_Non_Life!I52</f>
        <v>20775.468999000004</v>
      </c>
      <c r="E32" s="52">
        <v>19444.64</v>
      </c>
    </row>
    <row r="33" spans="1:5" ht="20.100000000000001" customHeight="1" x14ac:dyDescent="0.2">
      <c r="A33" s="110" t="s">
        <v>55</v>
      </c>
      <c r="B33" s="110"/>
      <c r="C33" s="110"/>
      <c r="D33" s="52">
        <f>+RA_Non_Life!J52</f>
        <v>2796.7048860000009</v>
      </c>
      <c r="E33" s="52">
        <v>2764.83</v>
      </c>
    </row>
    <row r="34" spans="1:5" ht="20.100000000000001" customHeight="1" x14ac:dyDescent="0.2">
      <c r="A34" s="114" t="s">
        <v>19</v>
      </c>
      <c r="B34" s="114"/>
      <c r="C34" s="114"/>
      <c r="D34" s="53">
        <f>SUM(D31:D33)</f>
        <v>32005.641344000003</v>
      </c>
      <c r="E34" s="53">
        <f>SUM(E31:E33)</f>
        <v>30461.300000000003</v>
      </c>
    </row>
    <row r="35" spans="1:5" ht="15" customHeight="1" x14ac:dyDescent="0.2">
      <c r="A35" s="124"/>
      <c r="B35" s="124"/>
      <c r="C35" s="124"/>
      <c r="D35" s="124"/>
      <c r="E35" s="124"/>
    </row>
    <row r="36" spans="1:5" ht="20.100000000000001" customHeight="1" x14ac:dyDescent="0.2">
      <c r="A36" s="110" t="s">
        <v>56</v>
      </c>
      <c r="B36" s="110"/>
      <c r="C36" s="110"/>
      <c r="D36" s="52">
        <f>+RA_Non_Life!B52</f>
        <v>5556.9834379999993</v>
      </c>
      <c r="E36" s="52">
        <v>5438.85</v>
      </c>
    </row>
    <row r="37" spans="1:5" ht="20.100000000000001" customHeight="1" x14ac:dyDescent="0.2">
      <c r="A37" s="110" t="s">
        <v>57</v>
      </c>
      <c r="B37" s="110"/>
      <c r="C37" s="110"/>
      <c r="D37" s="52">
        <f>+RA_Non_Life!C52</f>
        <v>6896.2432340000014</v>
      </c>
      <c r="E37" s="52">
        <v>6718.55</v>
      </c>
    </row>
    <row r="38" spans="1:5" ht="20.100000000000001" customHeight="1" x14ac:dyDescent="0.2">
      <c r="A38" s="110" t="s">
        <v>58</v>
      </c>
      <c r="B38" s="110"/>
      <c r="C38" s="110"/>
      <c r="D38" s="52">
        <f>+RA_Non_Life!D52</f>
        <v>5264.3624399999999</v>
      </c>
      <c r="E38" s="52">
        <v>5161.8140000000003</v>
      </c>
    </row>
    <row r="39" spans="1:5" ht="20.100000000000001" customHeight="1" x14ac:dyDescent="0.2">
      <c r="A39" s="110" t="s">
        <v>59</v>
      </c>
      <c r="B39" s="110"/>
      <c r="C39" s="110"/>
      <c r="D39" s="52">
        <f>+RA_Non_Life!E52</f>
        <v>9193.8892840000008</v>
      </c>
      <c r="E39" s="52">
        <v>8592.0400000000009</v>
      </c>
    </row>
    <row r="40" spans="1:5" ht="20.100000000000001" customHeight="1" x14ac:dyDescent="0.2">
      <c r="A40" s="110" t="s">
        <v>60</v>
      </c>
      <c r="B40" s="110"/>
      <c r="C40" s="110"/>
      <c r="D40" s="52">
        <f>+RA_Non_Life!F52</f>
        <v>5094.1588040000006</v>
      </c>
      <c r="E40" s="52">
        <v>4550.0439999999999</v>
      </c>
    </row>
    <row r="41" spans="1:5" ht="20.100000000000001" customHeight="1" x14ac:dyDescent="0.2">
      <c r="A41" s="114" t="s">
        <v>19</v>
      </c>
      <c r="B41" s="114"/>
      <c r="C41" s="114"/>
      <c r="D41" s="53">
        <f>SUM(D36:D40)</f>
        <v>32005.637200000005</v>
      </c>
      <c r="E41" s="53">
        <f>SUM(E36:E40)</f>
        <v>30461.298000000003</v>
      </c>
    </row>
  </sheetData>
  <mergeCells count="32">
    <mergeCell ref="D5:E5"/>
    <mergeCell ref="A6:B6"/>
    <mergeCell ref="A7:E7"/>
    <mergeCell ref="A8:B8"/>
    <mergeCell ref="A10:B10"/>
    <mergeCell ref="A12:B12"/>
    <mergeCell ref="A11:B11"/>
    <mergeCell ref="A9:B9"/>
    <mergeCell ref="A22:B22"/>
    <mergeCell ref="A40:C40"/>
    <mergeCell ref="A37:C37"/>
    <mergeCell ref="A38:C38"/>
    <mergeCell ref="A39:C39"/>
    <mergeCell ref="A35:E35"/>
    <mergeCell ref="D28:E28"/>
    <mergeCell ref="A29:C30"/>
    <mergeCell ref="A17:B17"/>
    <mergeCell ref="A15:E15"/>
    <mergeCell ref="A16:B16"/>
    <mergeCell ref="A13:B13"/>
    <mergeCell ref="A14:E14"/>
    <mergeCell ref="A18:B18"/>
    <mergeCell ref="A41:C41"/>
    <mergeCell ref="A36:C36"/>
    <mergeCell ref="A19:B19"/>
    <mergeCell ref="D29:E29"/>
    <mergeCell ref="A31:C31"/>
    <mergeCell ref="A32:C32"/>
    <mergeCell ref="A33:C33"/>
    <mergeCell ref="A34:C34"/>
    <mergeCell ref="A20:B20"/>
    <mergeCell ref="A21:B21"/>
  </mergeCells>
  <pageMargins left="0.74" right="0" top="0.5" bottom="0" header="0.25" footer="0.25"/>
  <pageSetup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4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H19" sqref="H19"/>
    </sheetView>
  </sheetViews>
  <sheetFormatPr defaultRowHeight="12.75" x14ac:dyDescent="0.2"/>
  <cols>
    <col min="1" max="1" width="41.140625" style="14" customWidth="1"/>
    <col min="2" max="2" width="9.85546875" style="14" bestFit="1" customWidth="1"/>
    <col min="3" max="3" width="9.140625" style="14" customWidth="1"/>
    <col min="4" max="4" width="10" style="14" customWidth="1"/>
    <col min="5" max="5" width="9" style="47" bestFit="1" customWidth="1"/>
    <col min="6" max="6" width="9.85546875" style="47" customWidth="1"/>
    <col min="7" max="7" width="9.140625" style="14"/>
    <col min="8" max="8" width="9.85546875" style="14" bestFit="1" customWidth="1"/>
    <col min="9" max="9" width="10.42578125" style="14" customWidth="1"/>
    <col min="10" max="10" width="10.28515625" style="14" customWidth="1"/>
    <col min="11" max="11" width="8.140625" style="14" bestFit="1" customWidth="1"/>
    <col min="12" max="12" width="9" style="14" bestFit="1" customWidth="1"/>
    <col min="13" max="13" width="9.85546875" style="14" bestFit="1" customWidth="1"/>
    <col min="14" max="16384" width="9.140625" style="14"/>
  </cols>
  <sheetData>
    <row r="1" spans="1:13" x14ac:dyDescent="0.2">
      <c r="A1" s="94" t="s">
        <v>229</v>
      </c>
      <c r="B1" s="95"/>
      <c r="C1" s="95"/>
      <c r="D1" s="95"/>
      <c r="E1" s="96"/>
      <c r="F1" s="96"/>
      <c r="G1" s="95"/>
      <c r="H1" s="95"/>
      <c r="I1" s="95"/>
      <c r="J1" s="95"/>
      <c r="K1" s="95"/>
      <c r="L1" s="95"/>
      <c r="M1" s="95"/>
    </row>
    <row r="2" spans="1:13" x14ac:dyDescent="0.2">
      <c r="A2" s="97"/>
      <c r="B2" s="98"/>
      <c r="C2" s="98"/>
      <c r="D2" s="98"/>
      <c r="E2" s="99"/>
      <c r="F2" s="99"/>
      <c r="G2" s="98"/>
      <c r="H2" s="98"/>
      <c r="I2" s="98"/>
      <c r="J2" s="98"/>
      <c r="K2" s="98"/>
      <c r="L2" s="132" t="s">
        <v>0</v>
      </c>
      <c r="M2" s="132"/>
    </row>
    <row r="3" spans="1:13" ht="20.25" customHeight="1" x14ac:dyDescent="0.2">
      <c r="A3" s="133" t="s">
        <v>61</v>
      </c>
      <c r="B3" s="131" t="s">
        <v>21</v>
      </c>
      <c r="C3" s="131"/>
      <c r="D3" s="131"/>
      <c r="E3" s="131"/>
      <c r="F3" s="131"/>
      <c r="G3" s="131"/>
      <c r="H3" s="131"/>
      <c r="I3" s="131" t="s">
        <v>97</v>
      </c>
      <c r="J3" s="131"/>
      <c r="K3" s="131"/>
      <c r="L3" s="131"/>
      <c r="M3" s="131"/>
    </row>
    <row r="4" spans="1:13" ht="66" customHeight="1" x14ac:dyDescent="0.2">
      <c r="A4" s="133"/>
      <c r="B4" s="101" t="s">
        <v>24</v>
      </c>
      <c r="C4" s="101" t="s">
        <v>25</v>
      </c>
      <c r="D4" s="101" t="s">
        <v>95</v>
      </c>
      <c r="E4" s="101" t="s">
        <v>27</v>
      </c>
      <c r="F4" s="101" t="s">
        <v>28</v>
      </c>
      <c r="G4" s="101" t="s">
        <v>44</v>
      </c>
      <c r="H4" s="101" t="s">
        <v>96</v>
      </c>
      <c r="I4" s="101" t="s">
        <v>31</v>
      </c>
      <c r="J4" s="101" t="s">
        <v>98</v>
      </c>
      <c r="K4" s="101" t="s">
        <v>33</v>
      </c>
      <c r="L4" s="101" t="s">
        <v>34</v>
      </c>
      <c r="M4" s="101" t="s">
        <v>99</v>
      </c>
    </row>
    <row r="5" spans="1:13" ht="18" customHeight="1" x14ac:dyDescent="0.2">
      <c r="A5" s="102" t="s">
        <v>62</v>
      </c>
      <c r="B5" s="103">
        <f>(112783427394-22717909294)/1000000</f>
        <v>90065.518100000001</v>
      </c>
      <c r="C5" s="103">
        <f>22717909284/1000000</f>
        <v>22717.909284000001</v>
      </c>
      <c r="D5" s="103">
        <f>796452274/1000000</f>
        <v>796.45227399999999</v>
      </c>
      <c r="E5" s="103">
        <v>0</v>
      </c>
      <c r="F5" s="103">
        <f>+(8524591075+781976998+3285260680+256173447)/1000000</f>
        <v>12848.002200000001</v>
      </c>
      <c r="G5" s="103">
        <f>319807467/1000000</f>
        <v>319.80746699999997</v>
      </c>
      <c r="H5" s="103">
        <f>+SUM(B5:G5)</f>
        <v>126747.68932500001</v>
      </c>
      <c r="I5" s="103">
        <v>0</v>
      </c>
      <c r="J5" s="103">
        <f>107781247570/1000000</f>
        <v>107781.24757000001</v>
      </c>
      <c r="K5" s="103">
        <f>+(300000000+146530425)/1000000</f>
        <v>446.53042499999998</v>
      </c>
      <c r="L5" s="103">
        <f>+(3880463428+4353067037+4438497121+3858185666+842778796+1146919292)/1000000</f>
        <v>18519.911339999999</v>
      </c>
      <c r="M5" s="103">
        <f>+SUM(I5:L5)</f>
        <v>126747.689335</v>
      </c>
    </row>
    <row r="6" spans="1:13" ht="18" customHeight="1" x14ac:dyDescent="0.2">
      <c r="A6" s="102" t="s">
        <v>79</v>
      </c>
      <c r="B6" s="103">
        <f>15000000/1000000</f>
        <v>15</v>
      </c>
      <c r="C6" s="103">
        <f>150000000/1000000</f>
        <v>150</v>
      </c>
      <c r="D6" s="103">
        <f>+(166808930-150000000)/1000000</f>
        <v>16.80893</v>
      </c>
      <c r="E6" s="103">
        <v>0</v>
      </c>
      <c r="F6" s="103">
        <f>+(6762513+1538819+18015039+4078444+809737)/1000000</f>
        <v>31.204552</v>
      </c>
      <c r="G6" s="103">
        <f>11534585/1000000</f>
        <v>11.534585</v>
      </c>
      <c r="H6" s="103">
        <f t="shared" ref="H6:H35" si="0">+SUM(B6:G6)</f>
        <v>224.548067</v>
      </c>
      <c r="I6" s="103">
        <f>180000000/1000000</f>
        <v>180</v>
      </c>
      <c r="J6" s="103">
        <f>7280355/1000000</f>
        <v>7.2803550000000001</v>
      </c>
      <c r="K6" s="103">
        <f>15000000/1000000</f>
        <v>15</v>
      </c>
      <c r="L6" s="103">
        <f>22267711/1000000</f>
        <v>22.267710999999998</v>
      </c>
      <c r="M6" s="103">
        <f t="shared" ref="M6:M35" si="1">+SUM(I6:L6)</f>
        <v>224.54806599999998</v>
      </c>
    </row>
    <row r="7" spans="1:13" ht="18" customHeight="1" x14ac:dyDescent="0.2">
      <c r="A7" s="102" t="s">
        <v>80</v>
      </c>
      <c r="B7" s="103">
        <f>291045601/1000000</f>
        <v>291.04560099999998</v>
      </c>
      <c r="C7" s="103">
        <v>0</v>
      </c>
      <c r="D7" s="103">
        <f>+(14632846+89272+161328102)/1000000</f>
        <v>176.05022</v>
      </c>
      <c r="E7" s="103">
        <v>0</v>
      </c>
      <c r="F7" s="103">
        <f>+(1416943+70798956+22958556+174536869+92433563+263545)/1000000</f>
        <v>362.408432</v>
      </c>
      <c r="G7" s="103">
        <f>338279387/1000000</f>
        <v>338.27938699999999</v>
      </c>
      <c r="H7" s="103">
        <f t="shared" si="0"/>
        <v>1167.7836400000001</v>
      </c>
      <c r="I7" s="103">
        <f>182160000/1000000</f>
        <v>182.16</v>
      </c>
      <c r="J7" s="103">
        <f>961489216/1000000</f>
        <v>961.48921600000006</v>
      </c>
      <c r="K7" s="103">
        <v>0</v>
      </c>
      <c r="L7" s="103">
        <f>+(3930600+20203820)/1000000</f>
        <v>24.134419999999999</v>
      </c>
      <c r="M7" s="103">
        <f t="shared" si="1"/>
        <v>1167.7836360000001</v>
      </c>
    </row>
    <row r="8" spans="1:13" ht="18" customHeight="1" x14ac:dyDescent="0.2">
      <c r="A8" s="102" t="s">
        <v>63</v>
      </c>
      <c r="B8" s="103">
        <f>18342171/1000000</f>
        <v>18.342171</v>
      </c>
      <c r="C8" s="103">
        <f>131591690/1000000</f>
        <v>131.59169</v>
      </c>
      <c r="D8" s="103">
        <f>+(143506435-131591690)/1000000</f>
        <v>11.914745</v>
      </c>
      <c r="E8" s="103">
        <f>10154020/1000000</f>
        <v>10.154019999999999</v>
      </c>
      <c r="F8" s="103">
        <f>+(416695+22006024+16955947+1229931+486883)/1000000</f>
        <v>41.095480000000002</v>
      </c>
      <c r="G8" s="103">
        <f>29614010/1000000</f>
        <v>29.61401</v>
      </c>
      <c r="H8" s="103">
        <f t="shared" si="0"/>
        <v>242.71211600000004</v>
      </c>
      <c r="I8" s="103">
        <f>180000000/1000000</f>
        <v>180</v>
      </c>
      <c r="J8" s="103">
        <f>5304596/1000000</f>
        <v>5.3045960000000001</v>
      </c>
      <c r="K8" s="103">
        <v>0</v>
      </c>
      <c r="L8" s="103">
        <f>+(46392957+10476220+538343)/1000000</f>
        <v>57.407519999999998</v>
      </c>
      <c r="M8" s="103">
        <f t="shared" si="1"/>
        <v>242.71211600000001</v>
      </c>
    </row>
    <row r="9" spans="1:13" ht="18" customHeight="1" x14ac:dyDescent="0.2">
      <c r="A9" s="102" t="s">
        <v>81</v>
      </c>
      <c r="B9" s="103">
        <f>15000000/1000000</f>
        <v>15</v>
      </c>
      <c r="C9" s="103">
        <f>164852312/1000000</f>
        <v>164.85231200000001</v>
      </c>
      <c r="D9" s="103">
        <f>+(13091693+57372)/1000000</f>
        <v>13.149065</v>
      </c>
      <c r="E9" s="103">
        <f>10252160/1000000</f>
        <v>10.25216</v>
      </c>
      <c r="F9" s="103">
        <f>+(224880+7964236+2382325+490175)/1000000</f>
        <v>11.061616000000001</v>
      </c>
      <c r="G9" s="103">
        <f>25276906/1000000</f>
        <v>25.276906</v>
      </c>
      <c r="H9" s="103">
        <f t="shared" si="0"/>
        <v>239.59205900000001</v>
      </c>
      <c r="I9" s="103">
        <f>180000000/1000000</f>
        <v>180</v>
      </c>
      <c r="J9" s="103">
        <f>12062265/1000000</f>
        <v>12.062265</v>
      </c>
      <c r="K9" s="103">
        <v>0</v>
      </c>
      <c r="L9" s="103">
        <f>+(266662+2414118+33820371+8911825+2116818)/1000000</f>
        <v>47.529794000000003</v>
      </c>
      <c r="M9" s="103">
        <f t="shared" si="1"/>
        <v>239.59205900000001</v>
      </c>
    </row>
    <row r="10" spans="1:13" ht="18" customHeight="1" x14ac:dyDescent="0.2">
      <c r="A10" s="102" t="s">
        <v>82</v>
      </c>
      <c r="B10" s="103">
        <f>28625516083/1000000</f>
        <v>28625.516082999999</v>
      </c>
      <c r="C10" s="103">
        <f>8720408125/1000000</f>
        <v>8720.4081249999999</v>
      </c>
      <c r="D10" s="103">
        <f>+(10113415697-8720408125)/1000000</f>
        <v>1393.007572</v>
      </c>
      <c r="E10" s="103">
        <f>(124362426)/1000000</f>
        <v>124.362426</v>
      </c>
      <c r="F10" s="103">
        <f>+(725889129+82590+581886551+1034491366+1845452306+9884261)/1000000</f>
        <v>4197.6862030000002</v>
      </c>
      <c r="G10" s="103">
        <f>671379150/1000000</f>
        <v>671.37914999999998</v>
      </c>
      <c r="H10" s="103">
        <f t="shared" si="0"/>
        <v>43732.359558999997</v>
      </c>
      <c r="I10" s="103">
        <f>1237500000/1000000</f>
        <v>1237.5</v>
      </c>
      <c r="J10" s="103">
        <f>36742205130/1000000</f>
        <v>36742.205130000002</v>
      </c>
      <c r="K10" s="103">
        <f>1000000/1000000</f>
        <v>1</v>
      </c>
      <c r="L10" s="103">
        <f>+(1871201226+3880453203)/1000000</f>
        <v>5751.6544290000002</v>
      </c>
      <c r="M10" s="103">
        <f t="shared" si="1"/>
        <v>43732.359559000004</v>
      </c>
    </row>
    <row r="11" spans="1:13" ht="18" customHeight="1" x14ac:dyDescent="0.2">
      <c r="A11" s="102" t="s">
        <v>233</v>
      </c>
      <c r="B11" s="103">
        <f>15000000/1000000</f>
        <v>15</v>
      </c>
      <c r="C11" s="103">
        <f>+(120000000+2000000)/1000000</f>
        <v>122</v>
      </c>
      <c r="D11" s="103">
        <f>+(139608531-120000000-2000000)/1000000</f>
        <v>17.608530999999999</v>
      </c>
      <c r="E11" s="103">
        <f>8996635/1000000</f>
        <v>8.9966349999999995</v>
      </c>
      <c r="F11" s="103">
        <f>+(178878+102386+2673521)/1000000</f>
        <v>2.9547850000000002</v>
      </c>
      <c r="G11" s="103">
        <f>41915674/1000000</f>
        <v>41.915674000000003</v>
      </c>
      <c r="H11" s="103">
        <f t="shared" si="0"/>
        <v>208.47562499999998</v>
      </c>
      <c r="I11" s="103">
        <f>180000000/1000000</f>
        <v>180</v>
      </c>
      <c r="J11" s="103">
        <f>-33808317/1000000</f>
        <v>-33.808317000000002</v>
      </c>
      <c r="K11" s="103">
        <f>15000000/1000000</f>
        <v>15</v>
      </c>
      <c r="L11" s="103">
        <f>+(19579001+10071264+2027000+625000+14981677)/1000000</f>
        <v>47.283942000000003</v>
      </c>
      <c r="M11" s="103">
        <f t="shared" si="1"/>
        <v>208.47562500000001</v>
      </c>
    </row>
    <row r="12" spans="1:13" ht="18" customHeight="1" x14ac:dyDescent="0.2">
      <c r="A12" s="102" t="s">
        <v>64</v>
      </c>
      <c r="B12" s="103">
        <f>7637116641/1000000</f>
        <v>7637.1166409999996</v>
      </c>
      <c r="C12" s="103">
        <f>11277185426/1000000</f>
        <v>11277.185426</v>
      </c>
      <c r="D12" s="103">
        <f>+(15889557216-11277185426)/1000000</f>
        <v>4612.3717900000001</v>
      </c>
      <c r="E12" s="103">
        <f>54728370/1000000</f>
        <v>54.728369999999998</v>
      </c>
      <c r="F12" s="103">
        <f>+(663597121+913255250+638488365+4330857264+5808917+7909856)/1000000</f>
        <v>6559.9167729999999</v>
      </c>
      <c r="G12" s="103">
        <f>12255688256/1000000</f>
        <v>12255.688255999999</v>
      </c>
      <c r="H12" s="103">
        <f t="shared" si="0"/>
        <v>42397.007256000004</v>
      </c>
      <c r="I12" s="103">
        <f>747427510/1000000</f>
        <v>747.42750999999998</v>
      </c>
      <c r="J12" s="103">
        <f>36789289954/1000000</f>
        <v>36789.289954</v>
      </c>
      <c r="K12" s="103">
        <v>0</v>
      </c>
      <c r="L12" s="103">
        <f>4860289792/1000000</f>
        <v>4860.2897919999996</v>
      </c>
      <c r="M12" s="103">
        <f t="shared" si="1"/>
        <v>42397.007255999997</v>
      </c>
    </row>
    <row r="13" spans="1:13" ht="18" customHeight="1" x14ac:dyDescent="0.2">
      <c r="A13" s="102" t="s">
        <v>65</v>
      </c>
      <c r="B13" s="103">
        <f>179969386/1000000</f>
        <v>179.96938599999999</v>
      </c>
      <c r="C13" s="103">
        <f>41210306/1000000</f>
        <v>41.210306000000003</v>
      </c>
      <c r="D13" s="103">
        <f>+(128325081-41210306)/1000000</f>
        <v>87.114774999999995</v>
      </c>
      <c r="E13" s="103">
        <f>135294061/1000000</f>
        <v>135.294061</v>
      </c>
      <c r="F13" s="103">
        <f>+(6427433+32556214+4667666+119800913+3737856)/1000000</f>
        <v>167.19008199999999</v>
      </c>
      <c r="G13" s="103">
        <f>1533032649/1000000</f>
        <v>1533.032649</v>
      </c>
      <c r="H13" s="103">
        <f t="shared" si="0"/>
        <v>2143.8112590000001</v>
      </c>
      <c r="I13" s="103">
        <f>30000000/1000000</f>
        <v>30</v>
      </c>
      <c r="J13" s="103">
        <f>913728233/1000000</f>
        <v>913.72823300000005</v>
      </c>
      <c r="K13" s="103">
        <v>0</v>
      </c>
      <c r="L13" s="103">
        <f>+(890338+1199192689)/1000000</f>
        <v>1200.0830269999999</v>
      </c>
      <c r="M13" s="103">
        <f t="shared" si="1"/>
        <v>2143.8112599999999</v>
      </c>
    </row>
    <row r="14" spans="1:13" ht="18" customHeight="1" x14ac:dyDescent="0.2">
      <c r="A14" s="102" t="s">
        <v>66</v>
      </c>
      <c r="B14" s="103">
        <f>351700000/1000000</f>
        <v>351.7</v>
      </c>
      <c r="C14" s="103">
        <f>638418828/1000000</f>
        <v>638.41882799999996</v>
      </c>
      <c r="D14" s="103">
        <f>119781032/1000000</f>
        <v>119.781032</v>
      </c>
      <c r="E14" s="103">
        <f>+(54105019)/1000000</f>
        <v>54.105018999999999</v>
      </c>
      <c r="F14" s="103">
        <f>+(386235+891989+48783+123605426+4506794+29910844)/1000000</f>
        <v>159.35007100000001</v>
      </c>
      <c r="G14" s="103">
        <f>16247931/1000000</f>
        <v>16.247931000000001</v>
      </c>
      <c r="H14" s="103">
        <f t="shared" si="0"/>
        <v>1339.6028810000003</v>
      </c>
      <c r="I14" s="103">
        <f>182000000/1000000</f>
        <v>182</v>
      </c>
      <c r="J14" s="103">
        <f>1038657410/1000000</f>
        <v>1038.65741</v>
      </c>
      <c r="K14" s="103">
        <v>0</v>
      </c>
      <c r="L14" s="103">
        <f>118945471/1000000</f>
        <v>118.945471</v>
      </c>
      <c r="M14" s="103">
        <f t="shared" si="1"/>
        <v>1339.602881</v>
      </c>
    </row>
    <row r="15" spans="1:13" ht="18" customHeight="1" x14ac:dyDescent="0.2">
      <c r="A15" s="102" t="s">
        <v>76</v>
      </c>
      <c r="B15" s="103">
        <f>1252198751/1000000</f>
        <v>1252.1987509999999</v>
      </c>
      <c r="C15" s="103">
        <f>191900000/1000000</f>
        <v>191.9</v>
      </c>
      <c r="D15" s="103">
        <f>+(483937996+270623)/1000000</f>
        <v>484.208619</v>
      </c>
      <c r="E15" s="103">
        <f>+(671473403)/1000000</f>
        <v>671.47340299999996</v>
      </c>
      <c r="F15" s="103">
        <f>(5000158+16567743+5554647+142584050+49149035)/1000000</f>
        <v>218.85563300000001</v>
      </c>
      <c r="G15" s="103">
        <f>368772430/1000000</f>
        <v>368.77242999999999</v>
      </c>
      <c r="H15" s="103">
        <f t="shared" si="0"/>
        <v>3187.4088360000001</v>
      </c>
      <c r="I15" s="103">
        <f>30000000/1000000</f>
        <v>30</v>
      </c>
      <c r="J15" s="103">
        <f>2826300919/1000000</f>
        <v>2826.3009189999998</v>
      </c>
      <c r="K15" s="103">
        <f>244868845/1000000</f>
        <v>244.86884499999999</v>
      </c>
      <c r="L15" s="103">
        <f>+(7438855+24959807+2127487+49850022+1862901)/1000000</f>
        <v>86.239071999999993</v>
      </c>
      <c r="M15" s="103">
        <f t="shared" si="1"/>
        <v>3187.4088359999996</v>
      </c>
    </row>
    <row r="16" spans="1:13" ht="18" customHeight="1" x14ac:dyDescent="0.2">
      <c r="A16" s="102" t="s">
        <v>67</v>
      </c>
      <c r="B16" s="103">
        <f>115000000/1000000</f>
        <v>115</v>
      </c>
      <c r="C16" s="103">
        <f>40000000/1000000</f>
        <v>40</v>
      </c>
      <c r="D16" s="103">
        <f>+(7168884+112484)/1000000</f>
        <v>7.2813679999999996</v>
      </c>
      <c r="E16" s="103">
        <v>0</v>
      </c>
      <c r="F16" s="103">
        <f>+(11227324+4487204+9834954+1929663+482203)/1000000</f>
        <v>27.961348000000001</v>
      </c>
      <c r="G16" s="103">
        <f>35244593/1000000</f>
        <v>35.244593000000002</v>
      </c>
      <c r="H16" s="103">
        <f t="shared" si="0"/>
        <v>225.48730899999998</v>
      </c>
      <c r="I16" s="103">
        <f>180000000/1000000</f>
        <v>180</v>
      </c>
      <c r="J16" s="103">
        <f>-48109466/1000000</f>
        <v>-48.109465999999998</v>
      </c>
      <c r="K16" s="103">
        <v>0</v>
      </c>
      <c r="L16" s="103">
        <f>93596775/1000000</f>
        <v>93.596774999999994</v>
      </c>
      <c r="M16" s="103">
        <f t="shared" si="1"/>
        <v>225.48730899999998</v>
      </c>
    </row>
    <row r="17" spans="1:13" ht="18" customHeight="1" x14ac:dyDescent="0.2">
      <c r="A17" s="102" t="s">
        <v>68</v>
      </c>
      <c r="B17" s="103">
        <f>45000000/1000000</f>
        <v>45</v>
      </c>
      <c r="C17" s="103">
        <v>0</v>
      </c>
      <c r="D17" s="103">
        <f>512382670/1000000</f>
        <v>512.38266999999996</v>
      </c>
      <c r="E17" s="103">
        <v>0</v>
      </c>
      <c r="F17" s="103">
        <f>(963551+18441451)/1000000</f>
        <v>19.405002</v>
      </c>
      <c r="G17" s="103">
        <f>27830118/1000000</f>
        <v>27.830117999999999</v>
      </c>
      <c r="H17" s="103">
        <f t="shared" si="0"/>
        <v>604.6177899999999</v>
      </c>
      <c r="I17" s="103">
        <f>600000000/1000000</f>
        <v>600</v>
      </c>
      <c r="J17" s="103">
        <f>-13649828/1000000</f>
        <v>-13.649827999999999</v>
      </c>
      <c r="K17" s="103">
        <v>0</v>
      </c>
      <c r="L17" s="103">
        <f>18267619/1000000</f>
        <v>18.267619</v>
      </c>
      <c r="M17" s="103">
        <f t="shared" si="1"/>
        <v>604.61779100000001</v>
      </c>
    </row>
    <row r="18" spans="1:13" ht="18" customHeight="1" x14ac:dyDescent="0.2">
      <c r="A18" s="102" t="s">
        <v>69</v>
      </c>
      <c r="B18" s="103">
        <f>6308274381/1000000</f>
        <v>6308.2743810000002</v>
      </c>
      <c r="C18" s="103">
        <f>4730077500/1000000</f>
        <v>4730.0775000000003</v>
      </c>
      <c r="D18" s="103">
        <f>+(6476493034-4730077500)/1000000</f>
        <v>1746.415534</v>
      </c>
      <c r="E18" s="103">
        <f>+(35857905)/1000000</f>
        <v>35.857905000000002</v>
      </c>
      <c r="F18" s="103">
        <f>+(5875957+9614562+231198413+1858252457+308955977+1237486324+358289637+470431+4457234)/1000000</f>
        <v>4014.6009920000001</v>
      </c>
      <c r="G18" s="103">
        <f>144549218/1000000</f>
        <v>144.549218</v>
      </c>
      <c r="H18" s="103">
        <f t="shared" si="0"/>
        <v>16979.775530000003</v>
      </c>
      <c r="I18" s="103">
        <f>335219130/1000000</f>
        <v>335.21913000000001</v>
      </c>
      <c r="J18" s="103">
        <f>15634617054/1000000</f>
        <v>15634.617054</v>
      </c>
      <c r="K18" s="103">
        <v>0</v>
      </c>
      <c r="L18" s="103">
        <f>+(178406210+2805593+826984343+1743200)/1000000</f>
        <v>1009.939346</v>
      </c>
      <c r="M18" s="103">
        <f t="shared" si="1"/>
        <v>16979.775529999999</v>
      </c>
    </row>
    <row r="19" spans="1:13" ht="18" customHeight="1" x14ac:dyDescent="0.2">
      <c r="A19" s="102" t="s">
        <v>84</v>
      </c>
      <c r="B19" s="103">
        <f>15000000/1000000</f>
        <v>15</v>
      </c>
      <c r="C19" s="103">
        <f>142504000/1000000</f>
        <v>142.50399999999999</v>
      </c>
      <c r="D19" s="103">
        <f>+(148856046-142504000)/1000000</f>
        <v>6.3520459999999996</v>
      </c>
      <c r="E19" s="103">
        <f>+(16189953)/1000000</f>
        <v>16.189952999999999</v>
      </c>
      <c r="F19" s="103">
        <f>+(657436+1734105+8501930+100000+2271246)/1000000</f>
        <v>13.264716999999999</v>
      </c>
      <c r="G19" s="103">
        <f>14889220/1000000</f>
        <v>14.88922</v>
      </c>
      <c r="H19" s="103">
        <f t="shared" si="0"/>
        <v>208.19993599999998</v>
      </c>
      <c r="I19" s="103">
        <f>180000000/1000000</f>
        <v>180</v>
      </c>
      <c r="J19" s="103">
        <f>2803277/1000000</f>
        <v>2.803277</v>
      </c>
      <c r="K19" s="103">
        <f>15000000/1000000</f>
        <v>15</v>
      </c>
      <c r="L19" s="103">
        <f>+(330246+185926+9880487)/1000000</f>
        <v>10.396659</v>
      </c>
      <c r="M19" s="103">
        <f t="shared" si="1"/>
        <v>208.19993600000001</v>
      </c>
    </row>
    <row r="20" spans="1:13" ht="18" customHeight="1" x14ac:dyDescent="0.2">
      <c r="A20" s="102" t="s">
        <v>70</v>
      </c>
      <c r="B20" s="103">
        <f>(14375188238+320500000)/1000000</f>
        <v>14695.688238000001</v>
      </c>
      <c r="C20" s="103">
        <f>15107951827/1000000</f>
        <v>15107.951827000001</v>
      </c>
      <c r="D20" s="103">
        <f>+(17029504094-15107951827)/1000000</f>
        <v>1921.552267</v>
      </c>
      <c r="E20" s="103">
        <f>+(139431902)/1000000</f>
        <v>139.43190200000001</v>
      </c>
      <c r="F20" s="103">
        <f>+(1474662+7882512+921545063+8677285+2434406721+1239826492+2497545154)/1000000</f>
        <v>7111.3578889999999</v>
      </c>
      <c r="G20" s="103">
        <f>+(1202586509+271087368+634884264)/1000000</f>
        <v>2108.558141</v>
      </c>
      <c r="H20" s="103">
        <f t="shared" si="0"/>
        <v>41084.540264000003</v>
      </c>
      <c r="I20" s="103">
        <f>943669400/1000000</f>
        <v>943.6694</v>
      </c>
      <c r="J20" s="103">
        <f>32907692596/1000000</f>
        <v>32907.692596000001</v>
      </c>
      <c r="K20" s="103">
        <v>0</v>
      </c>
      <c r="L20" s="103">
        <f>+(43840408+391215084+6798122776)/1000000</f>
        <v>7233.1782679999997</v>
      </c>
      <c r="M20" s="103">
        <f t="shared" si="1"/>
        <v>41084.540263999996</v>
      </c>
    </row>
    <row r="21" spans="1:13" ht="18" customHeight="1" x14ac:dyDescent="0.2">
      <c r="A21" s="102" t="s">
        <v>71</v>
      </c>
      <c r="B21" s="103">
        <f>16000000/1000000</f>
        <v>16</v>
      </c>
      <c r="C21" s="103">
        <f>140003920/1000000</f>
        <v>140.00391999999999</v>
      </c>
      <c r="D21" s="103">
        <f>216776/1000000</f>
        <v>0.216776</v>
      </c>
      <c r="E21" s="103">
        <v>0</v>
      </c>
      <c r="F21" s="103">
        <f>(2041724+1000000+5774464+67869+303472)/1000000</f>
        <v>9.1875289999999996</v>
      </c>
      <c r="G21" s="103">
        <f>15938128/1000000</f>
        <v>15.938128000000001</v>
      </c>
      <c r="H21" s="103">
        <f t="shared" si="0"/>
        <v>181.34635300000002</v>
      </c>
      <c r="I21" s="103">
        <f>180000000/1000000</f>
        <v>180</v>
      </c>
      <c r="J21" s="103">
        <f>-36431785/1000000</f>
        <v>-36.431784999999998</v>
      </c>
      <c r="K21" s="103">
        <f>15000000/1000000</f>
        <v>15</v>
      </c>
      <c r="L21" s="103">
        <f>+(7222352+2478328+4489877+4149799+98301+790278+3400000+149203)/1000000</f>
        <v>22.778137999999998</v>
      </c>
      <c r="M21" s="103">
        <f t="shared" si="1"/>
        <v>181.34635300000002</v>
      </c>
    </row>
    <row r="22" spans="1:13" ht="18" customHeight="1" x14ac:dyDescent="0.2">
      <c r="A22" s="102" t="s">
        <v>77</v>
      </c>
      <c r="B22" s="103">
        <f>15000000/1000000</f>
        <v>15</v>
      </c>
      <c r="C22" s="103">
        <f>85000000/1000000</f>
        <v>85</v>
      </c>
      <c r="D22" s="103">
        <f>+(2654196+321651)/1000000</f>
        <v>2.9758469999999999</v>
      </c>
      <c r="E22" s="103">
        <v>0</v>
      </c>
      <c r="F22" s="103">
        <f>(289491+20000+1200330+25929915)/1000000</f>
        <v>27.439736</v>
      </c>
      <c r="G22" s="103">
        <f>38830765/1000000</f>
        <v>38.830765</v>
      </c>
      <c r="H22" s="103">
        <f t="shared" si="0"/>
        <v>169.24634800000001</v>
      </c>
      <c r="I22" s="103">
        <f>180000000/1000000</f>
        <v>180</v>
      </c>
      <c r="J22" s="103">
        <f>-57031232/1000000</f>
        <v>-57.031232000000003</v>
      </c>
      <c r="K22" s="103">
        <v>0</v>
      </c>
      <c r="L22" s="103">
        <f>46277580/1000000</f>
        <v>46.27758</v>
      </c>
      <c r="M22" s="103">
        <f t="shared" si="1"/>
        <v>169.24634800000001</v>
      </c>
    </row>
    <row r="23" spans="1:13" ht="18" customHeight="1" x14ac:dyDescent="0.2">
      <c r="A23" s="102" t="s">
        <v>230</v>
      </c>
      <c r="B23" s="103"/>
      <c r="C23" s="103"/>
      <c r="D23" s="103"/>
      <c r="E23" s="103"/>
      <c r="F23" s="103"/>
      <c r="G23" s="103"/>
      <c r="H23" s="103">
        <f t="shared" si="0"/>
        <v>0</v>
      </c>
      <c r="I23" s="103"/>
      <c r="J23" s="103"/>
      <c r="K23" s="103"/>
      <c r="L23" s="103"/>
      <c r="M23" s="103">
        <f t="shared" si="1"/>
        <v>0</v>
      </c>
    </row>
    <row r="24" spans="1:13" ht="18" customHeight="1" x14ac:dyDescent="0.2">
      <c r="A24" s="102" t="s">
        <v>72</v>
      </c>
      <c r="B24" s="103">
        <f>1486723292/1000000</f>
        <v>1486.7232919999999</v>
      </c>
      <c r="C24" s="103">
        <f>2476503263/1000000</f>
        <v>2476.5032630000001</v>
      </c>
      <c r="D24" s="103">
        <f>+(3843737581-2476503263)/1000000</f>
        <v>1367.234318</v>
      </c>
      <c r="E24" s="103">
        <f>30883546/1000000</f>
        <v>30.883545999999999</v>
      </c>
      <c r="F24" s="103">
        <f>+(96415672+1358504+402497892+130482868+1054116095+7828528)/1000000</f>
        <v>1692.6995589999999</v>
      </c>
      <c r="G24" s="103">
        <f>2341064748/1000000</f>
        <v>2341.0647479999998</v>
      </c>
      <c r="H24" s="103">
        <f t="shared" si="0"/>
        <v>9395.1087259999986</v>
      </c>
      <c r="I24" s="103">
        <f>305202300/1000000</f>
        <v>305.20229999999998</v>
      </c>
      <c r="J24" s="103">
        <f>8466650243/1000000</f>
        <v>8466.650243</v>
      </c>
      <c r="K24" s="103">
        <v>0</v>
      </c>
      <c r="L24" s="103">
        <f>623256183/1000000</f>
        <v>623.25618299999996</v>
      </c>
      <c r="M24" s="103">
        <f t="shared" si="1"/>
        <v>9395.1087260000004</v>
      </c>
    </row>
    <row r="25" spans="1:13" ht="18" customHeight="1" x14ac:dyDescent="0.2">
      <c r="A25" s="102" t="s">
        <v>85</v>
      </c>
      <c r="B25" s="103">
        <f>16229807978/1000000</f>
        <v>16229.807978000001</v>
      </c>
      <c r="C25" s="103">
        <f>4581480817/1000000</f>
        <v>4581.4808169999997</v>
      </c>
      <c r="D25" s="103">
        <f>+(5525320361-4581480817)/1000000</f>
        <v>943.83954400000005</v>
      </c>
      <c r="E25" s="103">
        <f>87046712/1000000</f>
        <v>87.046711999999999</v>
      </c>
      <c r="F25" s="103">
        <f>+(72726288+1351215773+465632998+994582+1550575758+22644021)/1000000</f>
        <v>3463.7894200000001</v>
      </c>
      <c r="G25" s="103">
        <f>24880490/1000000</f>
        <v>24.880490000000002</v>
      </c>
      <c r="H25" s="103">
        <f t="shared" si="0"/>
        <v>25330.844960999999</v>
      </c>
      <c r="I25" s="103">
        <f>604283580/1000000</f>
        <v>604.28358000000003</v>
      </c>
      <c r="J25" s="103">
        <f>22866743790/1000000</f>
        <v>22866.74379</v>
      </c>
      <c r="K25" s="103">
        <f>+(31949061+734078099)/1000000</f>
        <v>766.02715999999998</v>
      </c>
      <c r="L25" s="103">
        <f>+(3662239+33819920+676752763+324772586+34193134+20589789)/1000000</f>
        <v>1093.7904309999999</v>
      </c>
      <c r="M25" s="103">
        <f t="shared" si="1"/>
        <v>25330.844961000003</v>
      </c>
    </row>
    <row r="26" spans="1:13" ht="18" customHeight="1" x14ac:dyDescent="0.2">
      <c r="A26" s="102" t="s">
        <v>86</v>
      </c>
      <c r="B26" s="103">
        <f>671338939/1000000</f>
        <v>671.33893899999998</v>
      </c>
      <c r="C26" s="103">
        <f>86000000/1000000</f>
        <v>86</v>
      </c>
      <c r="D26" s="103">
        <f>+(427178404-86000000)/1000000</f>
        <v>341.178404</v>
      </c>
      <c r="E26" s="103">
        <v>0</v>
      </c>
      <c r="F26" s="103">
        <f>+(474590+109840834+13783810+239126935+3954667)/1000000</f>
        <v>367.180836</v>
      </c>
      <c r="G26" s="103">
        <f>923705882/1000000</f>
        <v>923.70588199999997</v>
      </c>
      <c r="H26" s="103">
        <f t="shared" si="0"/>
        <v>2389.4040610000002</v>
      </c>
      <c r="I26" s="103">
        <f>388800000/1000000</f>
        <v>388.8</v>
      </c>
      <c r="J26" s="103">
        <f>1288257466/1000000</f>
        <v>1288.257466</v>
      </c>
      <c r="K26" s="103">
        <f>24518937/1000000</f>
        <v>24.518937000000001</v>
      </c>
      <c r="L26" s="103">
        <f>+(1342032+686485625)/1000000</f>
        <v>687.82765700000004</v>
      </c>
      <c r="M26" s="103">
        <f t="shared" si="1"/>
        <v>2389.4040599999998</v>
      </c>
    </row>
    <row r="27" spans="1:13" ht="18" customHeight="1" x14ac:dyDescent="0.2">
      <c r="A27" s="102" t="s">
        <v>87</v>
      </c>
      <c r="B27" s="103">
        <f>2758591449/1000000</f>
        <v>2758.591449</v>
      </c>
      <c r="C27" s="103">
        <f>1664736678/1000000</f>
        <v>1664.736678</v>
      </c>
      <c r="D27" s="103">
        <f>+(1906349447-1664736678)/1000000</f>
        <v>241.61276899999999</v>
      </c>
      <c r="E27" s="103">
        <f>+(81461174)/1000000</f>
        <v>81.461174</v>
      </c>
      <c r="F27" s="103">
        <f>(8846799+26028790+85356407+130198704+335166976)/1000000</f>
        <v>585.59767599999998</v>
      </c>
      <c r="G27" s="103">
        <f>+(83187038+1752906)/1000000</f>
        <v>84.939943999999997</v>
      </c>
      <c r="H27" s="103">
        <f t="shared" si="0"/>
        <v>5416.9396900000002</v>
      </c>
      <c r="I27" s="103">
        <f>121356140/1000000</f>
        <v>121.35614</v>
      </c>
      <c r="J27" s="103">
        <f>5216451077/1000000</f>
        <v>5216.4510769999997</v>
      </c>
      <c r="K27" s="103">
        <v>0</v>
      </c>
      <c r="L27" s="103">
        <f>+(7757665+67817935+231569950+15327354-243340431)/1000000</f>
        <v>79.132473000000005</v>
      </c>
      <c r="M27" s="103">
        <f t="shared" si="1"/>
        <v>5416.9396899999992</v>
      </c>
    </row>
    <row r="28" spans="1:13" ht="18" customHeight="1" x14ac:dyDescent="0.2">
      <c r="A28" s="102" t="s">
        <v>78</v>
      </c>
      <c r="B28" s="103">
        <f>1396418884/1000000</f>
        <v>1396.4188839999999</v>
      </c>
      <c r="C28" s="103">
        <f>706170388/1000000</f>
        <v>706.170388</v>
      </c>
      <c r="D28" s="103">
        <f>+(1923952842-706170388)/1000000</f>
        <v>1217.7824539999999</v>
      </c>
      <c r="E28" s="104">
        <v>0</v>
      </c>
      <c r="F28" s="103">
        <f>+(72181619+371145880+298945654+143981008+239020224+7844052)/1000000</f>
        <v>1133.1184370000001</v>
      </c>
      <c r="G28" s="103">
        <f>741677040/1000000</f>
        <v>741.67704000000003</v>
      </c>
      <c r="H28" s="103">
        <f t="shared" si="0"/>
        <v>5195.1672030000009</v>
      </c>
      <c r="I28" s="103">
        <f>277391810/1000000</f>
        <v>277.39181000000002</v>
      </c>
      <c r="J28" s="103">
        <f>4267523041/1000000</f>
        <v>4267.5230410000004</v>
      </c>
      <c r="K28" s="103">
        <f>227604538/1000000</f>
        <v>227.60453799999999</v>
      </c>
      <c r="L28" s="103">
        <f>+(240166080+2627677+179854057)/1000000</f>
        <v>422.64781399999998</v>
      </c>
      <c r="M28" s="103">
        <f t="shared" si="1"/>
        <v>5195.167203</v>
      </c>
    </row>
    <row r="29" spans="1:13" ht="18" customHeight="1" x14ac:dyDescent="0.2">
      <c r="A29" s="102" t="s">
        <v>73</v>
      </c>
      <c r="B29" s="103">
        <f>3716504708/1000000</f>
        <v>3716.5047079999999</v>
      </c>
      <c r="C29" s="103">
        <f>3600855276/1000000</f>
        <v>3600.8552759999998</v>
      </c>
      <c r="D29" s="103">
        <f>+(3812929434-3600855276)/1000000</f>
        <v>212.07415800000001</v>
      </c>
      <c r="E29" s="103">
        <f>67184299/1000000</f>
        <v>67.184298999999996</v>
      </c>
      <c r="F29" s="103">
        <f>+(79629593+461483234+826939438+484052304+32721197+46489927+52304878+3723696)/1000000</f>
        <v>1987.3442669999999</v>
      </c>
      <c r="G29" s="103">
        <f>1445869780/1000000</f>
        <v>1445.86978</v>
      </c>
      <c r="H29" s="103">
        <f t="shared" si="0"/>
        <v>11029.832488</v>
      </c>
      <c r="I29" s="103">
        <f>914155276/1000000</f>
        <v>914.15527599999996</v>
      </c>
      <c r="J29" s="103">
        <f>8517615065/1000000</f>
        <v>8517.615065</v>
      </c>
      <c r="K29" s="103">
        <f>636838610/1000000</f>
        <v>636.83861000000002</v>
      </c>
      <c r="L29" s="103">
        <f>961223537/1000000</f>
        <v>961.22353699999996</v>
      </c>
      <c r="M29" s="103">
        <f t="shared" si="1"/>
        <v>11029.832488</v>
      </c>
    </row>
    <row r="30" spans="1:13" ht="18" customHeight="1" x14ac:dyDescent="0.2">
      <c r="A30" s="102" t="s">
        <v>74</v>
      </c>
      <c r="B30" s="103">
        <f>544963155/1000000</f>
        <v>544.96315500000003</v>
      </c>
      <c r="C30" s="103">
        <f>211265000/1000000</f>
        <v>211.26499999999999</v>
      </c>
      <c r="D30" s="103">
        <f>+(624997695-211265000)/1000000</f>
        <v>413.73269499999998</v>
      </c>
      <c r="E30" s="103">
        <f>427013024/1000000</f>
        <v>427.01302399999997</v>
      </c>
      <c r="F30" s="103">
        <f>+(5189681+1940042+126664353+107349077+6443520+770400)/1000000</f>
        <v>248.35707300000001</v>
      </c>
      <c r="G30" s="103">
        <f>73443135/1000000</f>
        <v>73.443134999999998</v>
      </c>
      <c r="H30" s="103">
        <f t="shared" si="0"/>
        <v>1918.7740819999999</v>
      </c>
      <c r="I30" s="103">
        <f>30000000/1000000</f>
        <v>30</v>
      </c>
      <c r="J30" s="103">
        <f>1729083538/1000000</f>
        <v>1729.0835380000001</v>
      </c>
      <c r="K30" s="103">
        <v>0</v>
      </c>
      <c r="L30" s="103">
        <f>+(15361746+144328798)/1000000</f>
        <v>159.69054399999999</v>
      </c>
      <c r="M30" s="103">
        <f t="shared" si="1"/>
        <v>1918.7740820000001</v>
      </c>
    </row>
    <row r="31" spans="1:13" ht="18" customHeight="1" x14ac:dyDescent="0.2">
      <c r="A31" s="102" t="s">
        <v>88</v>
      </c>
      <c r="B31" s="103">
        <f>1095174454/1000000</f>
        <v>1095.174454</v>
      </c>
      <c r="C31" s="103">
        <f>359322505/1000000</f>
        <v>359.32250499999998</v>
      </c>
      <c r="D31" s="103">
        <f>+(867885213-359322505)/1000000</f>
        <v>508.56270799999999</v>
      </c>
      <c r="E31" s="103">
        <v>0</v>
      </c>
      <c r="F31" s="103">
        <f>+(7052559+3119970+4026541+394252115+31190648+382470908)/1000000</f>
        <v>822.11274100000003</v>
      </c>
      <c r="G31" s="103">
        <f>+(548960035+196382185)/1000000</f>
        <v>745.34222</v>
      </c>
      <c r="H31" s="103">
        <f t="shared" si="0"/>
        <v>3530.5146279999999</v>
      </c>
      <c r="I31" s="103">
        <f>350595000/1000000</f>
        <v>350.59500000000003</v>
      </c>
      <c r="J31" s="103">
        <f>3035958692/1000000</f>
        <v>3035.9586920000002</v>
      </c>
      <c r="K31" s="103">
        <f>14156722/1000000</f>
        <v>14.156722</v>
      </c>
      <c r="L31" s="103">
        <f>+(1444620+4525752+123833841)/1000000</f>
        <v>129.804213</v>
      </c>
      <c r="M31" s="103">
        <f t="shared" si="1"/>
        <v>3530.5146270000005</v>
      </c>
    </row>
    <row r="32" spans="1:13" ht="18" customHeight="1" x14ac:dyDescent="0.2">
      <c r="A32" s="102" t="s">
        <v>89</v>
      </c>
      <c r="B32" s="103">
        <f>116741949/1000000</f>
        <v>116.74194900000001</v>
      </c>
      <c r="C32" s="103">
        <f>221260000/1000000</f>
        <v>221.26</v>
      </c>
      <c r="D32" s="103">
        <f>+(286400260-221260000)/1000000</f>
        <v>65.140259999999998</v>
      </c>
      <c r="E32" s="103">
        <f>25683258/1000000</f>
        <v>25.683257999999999</v>
      </c>
      <c r="F32" s="103">
        <f>+(19325713+24813171+84567)/1000000</f>
        <v>44.223450999999997</v>
      </c>
      <c r="G32" s="103">
        <f>95822575/1000000</f>
        <v>95.822575000000001</v>
      </c>
      <c r="H32" s="103">
        <f t="shared" si="0"/>
        <v>568.87149299999999</v>
      </c>
      <c r="I32" s="103">
        <f>(180000000+15000000)/1000000</f>
        <v>195</v>
      </c>
      <c r="J32" s="103">
        <f>253073934/1000000</f>
        <v>253.07393400000001</v>
      </c>
      <c r="K32" s="103">
        <v>0</v>
      </c>
      <c r="L32" s="103">
        <f>120797559/1000000</f>
        <v>120.79755900000001</v>
      </c>
      <c r="M32" s="103">
        <f t="shared" si="1"/>
        <v>568.87149299999999</v>
      </c>
    </row>
    <row r="33" spans="1:13" ht="18" customHeight="1" x14ac:dyDescent="0.2">
      <c r="A33" s="102" t="s">
        <v>75</v>
      </c>
      <c r="B33" s="103">
        <f>15000000/1000000</f>
        <v>15</v>
      </c>
      <c r="C33" s="103">
        <f>131040000/1000000</f>
        <v>131.04</v>
      </c>
      <c r="D33" s="103">
        <f>+(623072+468225)/1000000</f>
        <v>1.091297</v>
      </c>
      <c r="E33" s="103">
        <v>0</v>
      </c>
      <c r="F33" s="103">
        <f>+(7809359+7254826+4502522+52190+72697+541280)/1000000</f>
        <v>20.232873999999999</v>
      </c>
      <c r="G33" s="103">
        <f>11364976/1000000</f>
        <v>11.364976</v>
      </c>
      <c r="H33" s="103">
        <f t="shared" si="0"/>
        <v>178.72914700000001</v>
      </c>
      <c r="I33" s="103">
        <f>180000000/1000000</f>
        <v>180</v>
      </c>
      <c r="J33" s="103">
        <f>-28166750/1000000</f>
        <v>-28.16675</v>
      </c>
      <c r="K33" s="103">
        <v>0</v>
      </c>
      <c r="L33" s="103">
        <f>26895897/1000000</f>
        <v>26.895897000000001</v>
      </c>
      <c r="M33" s="103">
        <f t="shared" si="1"/>
        <v>178.72914699999998</v>
      </c>
    </row>
    <row r="34" spans="1:13" ht="18" customHeight="1" x14ac:dyDescent="0.2">
      <c r="A34" s="102" t="s">
        <v>90</v>
      </c>
      <c r="B34" s="103">
        <f>15000000/1000000</f>
        <v>15</v>
      </c>
      <c r="C34" s="103">
        <f>140000000/1000000</f>
        <v>140</v>
      </c>
      <c r="D34" s="103">
        <f>(1584706+30080613+504726+17171335)/1000000</f>
        <v>49.341380000000001</v>
      </c>
      <c r="E34" s="103">
        <f>(114031)/1000000</f>
        <v>0.11403099999999999</v>
      </c>
      <c r="F34" s="103">
        <f>+(126500+376034+34770+1894297+7471672+9694861)/1000000</f>
        <v>19.598134000000002</v>
      </c>
      <c r="G34" s="103">
        <f>29696701/1000000</f>
        <v>29.696701000000001</v>
      </c>
      <c r="H34" s="103">
        <f t="shared" si="0"/>
        <v>253.75024600000003</v>
      </c>
      <c r="I34" s="103">
        <f>180000000/1000000</f>
        <v>180</v>
      </c>
      <c r="J34" s="103">
        <f>-4318537/1000000</f>
        <v>-4.3185370000000001</v>
      </c>
      <c r="K34" s="103">
        <f>15000000/1000000</f>
        <v>15</v>
      </c>
      <c r="L34" s="103">
        <f>+(19309550+4130009+8873195+29000000+403706+58745+1293578)/1000000</f>
        <v>63.068783000000003</v>
      </c>
      <c r="M34" s="103">
        <f t="shared" si="1"/>
        <v>253.750246</v>
      </c>
    </row>
    <row r="35" spans="1:13" ht="18" customHeight="1" x14ac:dyDescent="0.2">
      <c r="A35" s="102" t="s">
        <v>91</v>
      </c>
      <c r="B35" s="103">
        <f>15000000/1000000</f>
        <v>15</v>
      </c>
      <c r="C35" s="103">
        <f>128000000/1000000</f>
        <v>128</v>
      </c>
      <c r="D35" s="103">
        <f>+(129082906-128000000)/1000000</f>
        <v>1.0829059999999999</v>
      </c>
      <c r="E35" s="103">
        <v>0</v>
      </c>
      <c r="F35" s="103">
        <f>+(31955301+1257264+31033348+635951)/1000000</f>
        <v>64.881863999999993</v>
      </c>
      <c r="G35" s="103">
        <f>20264235/1000000</f>
        <v>20.264234999999999</v>
      </c>
      <c r="H35" s="103">
        <f t="shared" si="0"/>
        <v>229.22900499999997</v>
      </c>
      <c r="I35" s="103">
        <f>180000000/1000000</f>
        <v>180</v>
      </c>
      <c r="J35" s="103">
        <f>-57494938/1000000</f>
        <v>-57.494937999999998</v>
      </c>
      <c r="K35" s="103">
        <f>15000000/1000000</f>
        <v>15</v>
      </c>
      <c r="L35" s="103">
        <f>+(45246465+46477478)/1000000</f>
        <v>91.723943000000006</v>
      </c>
      <c r="M35" s="103">
        <f t="shared" si="1"/>
        <v>229.22900500000003</v>
      </c>
    </row>
    <row r="36" spans="1:13" ht="18" customHeight="1" x14ac:dyDescent="0.2">
      <c r="A36" s="100" t="s">
        <v>92</v>
      </c>
      <c r="B36" s="103">
        <f>SUM(B5:B35)</f>
        <v>177737.63416000002</v>
      </c>
      <c r="C36" s="103">
        <f t="shared" ref="C36:M36" si="2">SUM(C5:C35)</f>
        <v>78707.64714500001</v>
      </c>
      <c r="D36" s="103">
        <f t="shared" si="2"/>
        <v>17288.316954000002</v>
      </c>
      <c r="E36" s="103">
        <f t="shared" si="2"/>
        <v>1980.2318980000005</v>
      </c>
      <c r="F36" s="103">
        <f t="shared" si="2"/>
        <v>46272.079372</v>
      </c>
      <c r="G36" s="103">
        <f t="shared" si="2"/>
        <v>24535.460353999999</v>
      </c>
      <c r="H36" s="103">
        <f t="shared" si="2"/>
        <v>346521.36988299998</v>
      </c>
      <c r="I36" s="103">
        <f t="shared" si="2"/>
        <v>9454.7601459999987</v>
      </c>
      <c r="J36" s="103">
        <f t="shared" si="2"/>
        <v>290985.02456800011</v>
      </c>
      <c r="K36" s="103">
        <f t="shared" si="2"/>
        <v>2451.5452370000003</v>
      </c>
      <c r="L36" s="103">
        <f t="shared" si="2"/>
        <v>43630.039937000001</v>
      </c>
      <c r="M36" s="103">
        <f t="shared" si="2"/>
        <v>346521.36988799996</v>
      </c>
    </row>
    <row r="37" spans="1:13" ht="18" customHeight="1" x14ac:dyDescent="0.2">
      <c r="A37" s="102" t="s">
        <v>93</v>
      </c>
      <c r="B37" s="103">
        <f>5116759829/1000000</f>
        <v>5116.7598289999996</v>
      </c>
      <c r="C37" s="105">
        <f>8648993559/1000000</f>
        <v>8648.9935590000005</v>
      </c>
      <c r="D37" s="103">
        <f>+(9529546764-8648993559)/1000000</f>
        <v>880.55320500000005</v>
      </c>
      <c r="E37" s="103">
        <f>1233435939/1000000</f>
        <v>1233.435939</v>
      </c>
      <c r="F37" s="103">
        <f>+(2499923710+538748+487348998+1055511005+4131406+2675162+5242630+448539)/1000000</f>
        <v>4055.8201979999999</v>
      </c>
      <c r="G37" s="103">
        <f>+(319682974+26011905+22149339+3452366)/1000000</f>
        <v>371.296584</v>
      </c>
      <c r="H37" s="103">
        <f>+SUM(B37:G37)</f>
        <v>20306.859314000001</v>
      </c>
      <c r="I37" s="103">
        <f>50000000/1000000</f>
        <v>50</v>
      </c>
      <c r="J37" s="103">
        <f>18522854067/1000000</f>
        <v>18522.854067</v>
      </c>
      <c r="K37" s="103">
        <v>0</v>
      </c>
      <c r="L37" s="103">
        <f>+(702813700+2962422+307189821+721039304)/1000000</f>
        <v>1734.0052470000001</v>
      </c>
      <c r="M37" s="103">
        <f>+SUM(I37:L37)</f>
        <v>20306.859314000001</v>
      </c>
    </row>
    <row r="38" spans="1:13" ht="18" customHeight="1" x14ac:dyDescent="0.2">
      <c r="A38" s="100" t="s">
        <v>94</v>
      </c>
      <c r="B38" s="103">
        <f>+B36+B37</f>
        <v>182854.393989</v>
      </c>
      <c r="C38" s="103">
        <f t="shared" ref="C38:M38" si="3">+C36+C37</f>
        <v>87356.640704000005</v>
      </c>
      <c r="D38" s="103">
        <f t="shared" si="3"/>
        <v>18168.870159000002</v>
      </c>
      <c r="E38" s="103">
        <f t="shared" si="3"/>
        <v>3213.6678370000004</v>
      </c>
      <c r="F38" s="103">
        <f t="shared" si="3"/>
        <v>50327.899570000001</v>
      </c>
      <c r="G38" s="103">
        <f t="shared" si="3"/>
        <v>24906.756937999999</v>
      </c>
      <c r="H38" s="103">
        <f>+H36+H37</f>
        <v>366828.22919699998</v>
      </c>
      <c r="I38" s="103">
        <f t="shared" si="3"/>
        <v>9504.7601459999987</v>
      </c>
      <c r="J38" s="103">
        <f t="shared" si="3"/>
        <v>309507.87863500009</v>
      </c>
      <c r="K38" s="103">
        <f t="shared" si="3"/>
        <v>2451.5452370000003</v>
      </c>
      <c r="L38" s="103">
        <f t="shared" si="3"/>
        <v>45364.045184000002</v>
      </c>
      <c r="M38" s="103">
        <f t="shared" si="3"/>
        <v>366828.22920199996</v>
      </c>
    </row>
  </sheetData>
  <mergeCells count="4">
    <mergeCell ref="B3:H3"/>
    <mergeCell ref="I3:M3"/>
    <mergeCell ref="L2:M2"/>
    <mergeCell ref="A3:A4"/>
  </mergeCells>
  <pageMargins left="0.7" right="0.7" top="0.75" bottom="0.75" header="0.3" footer="0.3"/>
  <pageSetup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O37" sqref="O37"/>
    </sheetView>
  </sheetViews>
  <sheetFormatPr defaultRowHeight="12.75" x14ac:dyDescent="0.2"/>
  <cols>
    <col min="1" max="1" width="41.140625" style="14" customWidth="1"/>
    <col min="2" max="2" width="9.5703125" style="14" bestFit="1" customWidth="1"/>
    <col min="3" max="3" width="11.140625" style="14" customWidth="1"/>
    <col min="4" max="4" width="10.7109375" style="14" bestFit="1" customWidth="1"/>
    <col min="5" max="5" width="9.7109375" style="14" bestFit="1" customWidth="1"/>
    <col min="6" max="6" width="10.28515625" style="14" customWidth="1"/>
    <col min="7" max="7" width="8.140625" style="14" bestFit="1" customWidth="1"/>
    <col min="8" max="8" width="10.140625" style="14" customWidth="1"/>
    <col min="9" max="9" width="8.140625" style="14" bestFit="1" customWidth="1"/>
    <col min="10" max="11" width="9.85546875" style="14" bestFit="1" customWidth="1"/>
    <col min="12" max="12" width="9.140625" style="14"/>
    <col min="13" max="13" width="9.140625" style="47" bestFit="1" customWidth="1"/>
    <col min="14" max="14" width="9.85546875" style="14" bestFit="1" customWidth="1"/>
    <col min="15" max="16384" width="9.140625" style="14"/>
  </cols>
  <sheetData>
    <row r="1" spans="1:14" ht="15.75" x14ac:dyDescent="0.2">
      <c r="A1" s="16" t="s">
        <v>228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6"/>
      <c r="N1" s="17"/>
    </row>
    <row r="2" spans="1:14" ht="14.25" x14ac:dyDescent="0.2">
      <c r="A2" s="11"/>
      <c r="M2" s="136" t="s">
        <v>0</v>
      </c>
      <c r="N2" s="136"/>
    </row>
    <row r="3" spans="1:14" ht="20.25" customHeight="1" x14ac:dyDescent="0.2">
      <c r="A3" s="134" t="s">
        <v>61</v>
      </c>
      <c r="B3" s="135" t="s">
        <v>100</v>
      </c>
      <c r="C3" s="135"/>
      <c r="D3" s="135"/>
      <c r="E3" s="135"/>
      <c r="F3" s="135"/>
      <c r="G3" s="135"/>
      <c r="H3" s="135"/>
      <c r="I3" s="135"/>
      <c r="J3" s="135"/>
      <c r="K3" s="135" t="s">
        <v>101</v>
      </c>
      <c r="L3" s="135"/>
      <c r="M3" s="135"/>
      <c r="N3" s="135"/>
    </row>
    <row r="4" spans="1:14" ht="66" customHeight="1" x14ac:dyDescent="0.2">
      <c r="A4" s="134"/>
      <c r="B4" s="15" t="s">
        <v>103</v>
      </c>
      <c r="C4" s="15" t="s">
        <v>104</v>
      </c>
      <c r="D4" s="15" t="s">
        <v>58</v>
      </c>
      <c r="E4" s="15" t="s">
        <v>105</v>
      </c>
      <c r="F4" s="15" t="s">
        <v>106</v>
      </c>
      <c r="G4" s="15" t="s">
        <v>107</v>
      </c>
      <c r="H4" s="15" t="s">
        <v>108</v>
      </c>
      <c r="I4" s="15" t="s">
        <v>109</v>
      </c>
      <c r="J4" s="15" t="s">
        <v>102</v>
      </c>
      <c r="K4" s="15" t="s">
        <v>110</v>
      </c>
      <c r="L4" s="15" t="s">
        <v>9</v>
      </c>
      <c r="M4" s="15" t="s">
        <v>224</v>
      </c>
      <c r="N4" s="15" t="s">
        <v>19</v>
      </c>
    </row>
    <row r="5" spans="1:14" ht="18" customHeight="1" x14ac:dyDescent="0.2">
      <c r="A5" s="44" t="s">
        <v>62</v>
      </c>
      <c r="B5" s="45">
        <f>+(9457056026+4862884535)/1000000</f>
        <v>14319.940560999999</v>
      </c>
      <c r="C5" s="45">
        <f>1286106562/1000000</f>
        <v>1286.1065619999999</v>
      </c>
      <c r="D5" s="45">
        <f>2557032336/1000000</f>
        <v>2557.0323360000002</v>
      </c>
      <c r="E5" s="45">
        <f>+(6407846455-3843138898+62644827)/1000000</f>
        <v>2627.3523839999998</v>
      </c>
      <c r="F5" s="45">
        <f>+C5+D5+E5</f>
        <v>6470.491282</v>
      </c>
      <c r="G5" s="45">
        <v>0</v>
      </c>
      <c r="H5" s="45">
        <f>107781247570/1000000</f>
        <v>107781.24757000001</v>
      </c>
      <c r="I5" s="45">
        <f>1947665236/1000000</f>
        <v>1947.665236</v>
      </c>
      <c r="J5" s="45">
        <f>B5+F5+G5+H5+I5</f>
        <v>130519.34464900001</v>
      </c>
      <c r="K5" s="45">
        <f>95182285626/1000000</f>
        <v>95182.285625999997</v>
      </c>
      <c r="L5" s="45">
        <f>24281376738/1000000</f>
        <v>24281.376737999999</v>
      </c>
      <c r="M5" s="45">
        <f>+(11002699939+52982346)/1000000</f>
        <v>11055.682285000001</v>
      </c>
      <c r="N5" s="45">
        <f t="shared" ref="N5:N35" si="0">+SUM(K5:M5)</f>
        <v>130519.34464899999</v>
      </c>
    </row>
    <row r="6" spans="1:14" ht="18" customHeight="1" x14ac:dyDescent="0.2">
      <c r="A6" s="13" t="s">
        <v>79</v>
      </c>
      <c r="B6" s="6">
        <f>2630554/1000000</f>
        <v>2.6305540000000001</v>
      </c>
      <c r="C6" s="6">
        <f>16921264/1000000</f>
        <v>16.921264000000001</v>
      </c>
      <c r="D6" s="6">
        <f>18944345/1000000</f>
        <v>18.944344999999998</v>
      </c>
      <c r="E6" s="6">
        <f>+(21786903+389853+200000+2804336)/1000000</f>
        <v>25.181092</v>
      </c>
      <c r="F6" s="6">
        <f t="shared" ref="F6:F37" si="1">+C6+D6+E6</f>
        <v>61.046700999999999</v>
      </c>
      <c r="G6" s="6">
        <v>0</v>
      </c>
      <c r="H6" s="6">
        <f>7280355/1000000</f>
        <v>7.2803550000000001</v>
      </c>
      <c r="I6" s="6">
        <v>0</v>
      </c>
      <c r="J6" s="6">
        <f t="shared" ref="J6:J37" si="2">B6+F6+G6+H6+I6</f>
        <v>70.957610000000003</v>
      </c>
      <c r="K6" s="6">
        <f>-858478/1000000</f>
        <v>-0.85847799999999996</v>
      </c>
      <c r="L6" s="6">
        <f>60564527/1000000</f>
        <v>60.564526999999998</v>
      </c>
      <c r="M6" s="6">
        <f>+(10724016+17546+510000)/1000000</f>
        <v>11.251562</v>
      </c>
      <c r="N6" s="6">
        <f t="shared" si="0"/>
        <v>70.957611</v>
      </c>
    </row>
    <row r="7" spans="1:14" ht="18" customHeight="1" x14ac:dyDescent="0.2">
      <c r="A7" s="13" t="s">
        <v>80</v>
      </c>
      <c r="B7" s="6">
        <f>123299358/1000000</f>
        <v>123.299358</v>
      </c>
      <c r="C7" s="6">
        <f>20887433/1000000</f>
        <v>20.887433000000001</v>
      </c>
      <c r="D7" s="6">
        <f>43222816/1000000</f>
        <v>43.222816000000002</v>
      </c>
      <c r="E7" s="6">
        <f>+(25242914+19560346+593403)/1000000</f>
        <v>45.396662999999997</v>
      </c>
      <c r="F7" s="6">
        <f t="shared" si="1"/>
        <v>109.506912</v>
      </c>
      <c r="G7" s="6">
        <v>0</v>
      </c>
      <c r="H7" s="6">
        <f>767528810/1000000</f>
        <v>767.52881000000002</v>
      </c>
      <c r="I7" s="6">
        <v>0</v>
      </c>
      <c r="J7" s="6">
        <f t="shared" si="2"/>
        <v>1000.3350800000001</v>
      </c>
      <c r="K7" s="6">
        <f>833349845/1000000</f>
        <v>833.34984499999996</v>
      </c>
      <c r="L7" s="6">
        <f>141666827/1000000</f>
        <v>141.66682700000001</v>
      </c>
      <c r="M7" s="6">
        <f>+(24003408+1315000)/1000000</f>
        <v>25.318408000000002</v>
      </c>
      <c r="N7" s="6">
        <f t="shared" si="0"/>
        <v>1000.3350799999999</v>
      </c>
    </row>
    <row r="8" spans="1:14" ht="18" customHeight="1" x14ac:dyDescent="0.2">
      <c r="A8" s="13" t="s">
        <v>63</v>
      </c>
      <c r="B8" s="6">
        <f>10365769/1000000</f>
        <v>10.365769</v>
      </c>
      <c r="C8" s="6">
        <f>49379368/1000000</f>
        <v>49.379367999999999</v>
      </c>
      <c r="D8" s="6">
        <f>50473584/1000000</f>
        <v>50.473584000000002</v>
      </c>
      <c r="E8" s="6">
        <f>+(50690825+6143375)/1000000</f>
        <v>56.834200000000003</v>
      </c>
      <c r="F8" s="6">
        <f>+C8+D8+E8</f>
        <v>156.687152</v>
      </c>
      <c r="G8" s="6">
        <v>0</v>
      </c>
      <c r="H8" s="6">
        <f>5304596/1000000</f>
        <v>5.3045960000000001</v>
      </c>
      <c r="I8" s="6">
        <v>0</v>
      </c>
      <c r="J8" s="6">
        <f t="shared" si="2"/>
        <v>172.357517</v>
      </c>
      <c r="K8" s="6">
        <f>-18298908/1000000</f>
        <v>-18.298908000000001</v>
      </c>
      <c r="L8" s="6">
        <f>171227354/1000000</f>
        <v>171.22735399999999</v>
      </c>
      <c r="M8" s="6">
        <f>+(17841191+1587878)/1000000</f>
        <v>19.429068999999998</v>
      </c>
      <c r="N8" s="6">
        <f t="shared" si="0"/>
        <v>172.35751499999998</v>
      </c>
    </row>
    <row r="9" spans="1:14" ht="18" customHeight="1" x14ac:dyDescent="0.2">
      <c r="A9" s="13" t="s">
        <v>81</v>
      </c>
      <c r="B9" s="6">
        <f>3595342/1000000</f>
        <v>3.595342</v>
      </c>
      <c r="C9" s="6">
        <f>12836308/1000000</f>
        <v>12.836308000000001</v>
      </c>
      <c r="D9" s="6">
        <f>17102706/1000000</f>
        <v>17.102706000000001</v>
      </c>
      <c r="E9" s="6">
        <f>(42493392+3877794)/1000000</f>
        <v>46.371186000000002</v>
      </c>
      <c r="F9" s="6">
        <f t="shared" si="1"/>
        <v>76.310200000000009</v>
      </c>
      <c r="G9" s="6">
        <v>0</v>
      </c>
      <c r="H9" s="6">
        <f>12062265/1000000</f>
        <v>12.062265</v>
      </c>
      <c r="I9" s="6">
        <v>0</v>
      </c>
      <c r="J9" s="6">
        <f t="shared" si="2"/>
        <v>91.967807000000008</v>
      </c>
      <c r="K9" s="6">
        <f>(-5008615+851084)/1000000</f>
        <v>-4.1575309999999996</v>
      </c>
      <c r="L9" s="6">
        <f>84271294/1000000</f>
        <v>84.271293999999997</v>
      </c>
      <c r="M9" s="6">
        <f>+(11550813+303231)/1000000</f>
        <v>11.854044</v>
      </c>
      <c r="N9" s="6">
        <f t="shared" si="0"/>
        <v>91.967806999999993</v>
      </c>
    </row>
    <row r="10" spans="1:14" ht="18" customHeight="1" x14ac:dyDescent="0.2">
      <c r="A10" s="13" t="s">
        <v>82</v>
      </c>
      <c r="B10" s="6">
        <f>5337408322/1000000</f>
        <v>5337.4083220000002</v>
      </c>
      <c r="C10" s="6">
        <f>254776290/1000000</f>
        <v>254.77628999999999</v>
      </c>
      <c r="D10" s="6">
        <f>603560921/1000000</f>
        <v>603.56092100000001</v>
      </c>
      <c r="E10" s="6">
        <f>(842987753+135959591)/1000000</f>
        <v>978.94734400000004</v>
      </c>
      <c r="F10" s="6">
        <f t="shared" ref="F10:F16" si="3">+C10+D10+E10</f>
        <v>1837.2845550000002</v>
      </c>
      <c r="G10" s="6">
        <f>247500000/1000000</f>
        <v>247.5</v>
      </c>
      <c r="H10" s="6">
        <f>36742205130/1000000</f>
        <v>36742.205130000002</v>
      </c>
      <c r="I10" s="6">
        <f>225000000/1000000</f>
        <v>225</v>
      </c>
      <c r="J10" s="6">
        <f t="shared" si="2"/>
        <v>44389.398007000003</v>
      </c>
      <c r="K10" s="6">
        <f>34702479378/1000000</f>
        <v>34702.479378000004</v>
      </c>
      <c r="L10" s="6">
        <f>6175052953/1000000</f>
        <v>6175.0529530000003</v>
      </c>
      <c r="M10" s="6">
        <f>+(3388696600+3431439+119737637)/1000000</f>
        <v>3511.8656759999999</v>
      </c>
      <c r="N10" s="6">
        <f t="shared" si="0"/>
        <v>44389.398007000003</v>
      </c>
    </row>
    <row r="11" spans="1:14" ht="18" customHeight="1" x14ac:dyDescent="0.2">
      <c r="A11" s="13" t="s">
        <v>83</v>
      </c>
      <c r="B11" s="6">
        <f>3700012/1000000</f>
        <v>3.7000120000000001</v>
      </c>
      <c r="C11" s="6">
        <f>37581438/1000000</f>
        <v>37.581437999999999</v>
      </c>
      <c r="D11" s="6">
        <f>40569100/1000000</f>
        <v>40.569099999999999</v>
      </c>
      <c r="E11" s="6">
        <f>+(57895810+6493551)/1000000</f>
        <v>64.389360999999994</v>
      </c>
      <c r="F11" s="6">
        <f t="shared" si="3"/>
        <v>142.53989899999999</v>
      </c>
      <c r="G11" s="6">
        <v>0</v>
      </c>
      <c r="H11" s="6">
        <f>-33808317/1000000</f>
        <v>-33.808317000000002</v>
      </c>
      <c r="I11" s="6">
        <v>0</v>
      </c>
      <c r="J11" s="6">
        <f t="shared" si="2"/>
        <v>112.43159399999998</v>
      </c>
      <c r="K11" s="6">
        <f>-29740510/1000000</f>
        <v>-29.74051</v>
      </c>
      <c r="L11" s="6">
        <f>133454231/1000000</f>
        <v>133.45423099999999</v>
      </c>
      <c r="M11" s="6">
        <f>+(8664214+53659)/1000000</f>
        <v>8.7178730000000009</v>
      </c>
      <c r="N11" s="6">
        <f t="shared" si="0"/>
        <v>112.43159399999999</v>
      </c>
    </row>
    <row r="12" spans="1:14" ht="18" customHeight="1" x14ac:dyDescent="0.2">
      <c r="A12" s="13" t="s">
        <v>64</v>
      </c>
      <c r="B12" s="6">
        <f>5807909392/1000000</f>
        <v>5807.9093919999996</v>
      </c>
      <c r="C12" s="6">
        <f>608208552/1000000</f>
        <v>608.20855200000005</v>
      </c>
      <c r="D12" s="6">
        <f>1552168113/1000000</f>
        <v>1552.1681129999999</v>
      </c>
      <c r="E12" s="6">
        <f>1977924343/1000000</f>
        <v>1977.9243429999999</v>
      </c>
      <c r="F12" s="6">
        <f t="shared" si="3"/>
        <v>4138.3010079999995</v>
      </c>
      <c r="G12" s="6">
        <f>217999689/1000000</f>
        <v>217.99968899999999</v>
      </c>
      <c r="H12" s="6">
        <f>33447462417/1000000</f>
        <v>33447.462417000002</v>
      </c>
      <c r="I12" s="6">
        <f>143274412/1000000</f>
        <v>143.27441200000001</v>
      </c>
      <c r="J12" s="6">
        <f t="shared" si="2"/>
        <v>43754.946918000001</v>
      </c>
      <c r="K12" s="6">
        <f>32166085973/1000000</f>
        <v>32166.085973000001</v>
      </c>
      <c r="L12" s="6">
        <f>10103073525/1000000</f>
        <v>10103.073525</v>
      </c>
      <c r="M12" s="6">
        <f>+(1483296183+2491237)/1000000</f>
        <v>1485.7874200000001</v>
      </c>
      <c r="N12" s="6">
        <f t="shared" si="0"/>
        <v>43754.946918000001</v>
      </c>
    </row>
    <row r="13" spans="1:14" ht="18" customHeight="1" x14ac:dyDescent="0.2">
      <c r="A13" s="13" t="s">
        <v>65</v>
      </c>
      <c r="B13" s="6">
        <f>419725394/1000000</f>
        <v>419.72539399999999</v>
      </c>
      <c r="C13" s="6">
        <f>8859858/1000000</f>
        <v>8.8598579999999991</v>
      </c>
      <c r="D13" s="6">
        <f>32527850/1000000</f>
        <v>32.527850000000001</v>
      </c>
      <c r="E13" s="6">
        <f>137450187/1000000</f>
        <v>137.450187</v>
      </c>
      <c r="F13" s="6">
        <f t="shared" si="3"/>
        <v>178.837895</v>
      </c>
      <c r="G13" s="6">
        <v>0</v>
      </c>
      <c r="H13" s="6">
        <f>913728233/1000000</f>
        <v>913.72823300000005</v>
      </c>
      <c r="I13" s="6">
        <v>0</v>
      </c>
      <c r="J13" s="6">
        <f t="shared" si="2"/>
        <v>1512.291522</v>
      </c>
      <c r="K13" s="6">
        <f>(1227518494+14618363)/1000000</f>
        <v>1242.136857</v>
      </c>
      <c r="L13" s="6">
        <f>249904808/1000000</f>
        <v>249.904808</v>
      </c>
      <c r="M13" s="6">
        <f>20249857/1000000</f>
        <v>20.249856999999999</v>
      </c>
      <c r="N13" s="6">
        <f t="shared" si="0"/>
        <v>1512.291522</v>
      </c>
    </row>
    <row r="14" spans="1:14" ht="18" customHeight="1" x14ac:dyDescent="0.2">
      <c r="A14" s="13" t="s">
        <v>66</v>
      </c>
      <c r="B14" s="6">
        <f>623647204/1000000</f>
        <v>623.64720399999999</v>
      </c>
      <c r="C14" s="6">
        <f>11222085/1000000</f>
        <v>11.222085</v>
      </c>
      <c r="D14" s="6">
        <f>20180241/1000000</f>
        <v>20.180240999999999</v>
      </c>
      <c r="E14" s="6">
        <f>132109516/1000000</f>
        <v>132.10951600000001</v>
      </c>
      <c r="F14" s="6">
        <f t="shared" si="3"/>
        <v>163.511842</v>
      </c>
      <c r="G14" s="6">
        <v>0</v>
      </c>
      <c r="H14" s="6">
        <f>1038657410/1000000</f>
        <v>1038.65741</v>
      </c>
      <c r="I14" s="6">
        <f>3986233/1000000</f>
        <v>3.9862329999999999</v>
      </c>
      <c r="J14" s="6">
        <f t="shared" si="2"/>
        <v>1829.8026890000001</v>
      </c>
      <c r="K14" s="6">
        <f>309269485/1000000</f>
        <v>309.26948499999997</v>
      </c>
      <c r="L14" s="6">
        <f>1477658417/1000000</f>
        <v>1477.6584170000001</v>
      </c>
      <c r="M14" s="6">
        <f>+(42847631+27156)/1000000</f>
        <v>42.874786999999998</v>
      </c>
      <c r="N14" s="6">
        <f t="shared" si="0"/>
        <v>1829.8026890000001</v>
      </c>
    </row>
    <row r="15" spans="1:14" ht="18" customHeight="1" x14ac:dyDescent="0.2">
      <c r="A15" s="13" t="s">
        <v>76</v>
      </c>
      <c r="B15" s="6">
        <f>781623058/1000000</f>
        <v>781.62305800000001</v>
      </c>
      <c r="C15" s="6">
        <f>40959229/1000000</f>
        <v>40.959229000000001</v>
      </c>
      <c r="D15" s="6">
        <f>121551286/1000000</f>
        <v>121.551286</v>
      </c>
      <c r="E15" s="6">
        <f>+(356582009+16161011)/1000000</f>
        <v>372.74302</v>
      </c>
      <c r="F15" s="6">
        <f t="shared" si="3"/>
        <v>535.25353500000006</v>
      </c>
      <c r="G15" s="6">
        <v>0</v>
      </c>
      <c r="H15" s="6">
        <f>2826300919/1000000</f>
        <v>2826.3009189999998</v>
      </c>
      <c r="I15" s="6">
        <v>0</v>
      </c>
      <c r="J15" s="6">
        <f t="shared" si="2"/>
        <v>4143.1775120000002</v>
      </c>
      <c r="K15" s="6">
        <f>2813427338/1000000</f>
        <v>2813.427338</v>
      </c>
      <c r="L15" s="6">
        <f>1130841331/1000000</f>
        <v>1130.8413310000001</v>
      </c>
      <c r="M15" s="6">
        <f>+(144446641+47280400+7181802)/1000000</f>
        <v>198.90884299999999</v>
      </c>
      <c r="N15" s="6">
        <f t="shared" si="0"/>
        <v>4143.1775120000002</v>
      </c>
    </row>
    <row r="16" spans="1:14" ht="18" customHeight="1" x14ac:dyDescent="0.2">
      <c r="A16" s="13" t="s">
        <v>67</v>
      </c>
      <c r="B16" s="6">
        <f>+3007046/1000000</f>
        <v>3.0070459999999999</v>
      </c>
      <c r="C16" s="6">
        <f>32379858/1000000</f>
        <v>32.379857999999999</v>
      </c>
      <c r="D16" s="6">
        <f>32456613/1000000</f>
        <v>32.456612999999997</v>
      </c>
      <c r="E16" s="6">
        <f>+(40223742+6485451+2613921+1929663)/1000000</f>
        <v>51.252777000000002</v>
      </c>
      <c r="F16" s="6">
        <f t="shared" si="3"/>
        <v>116.089248</v>
      </c>
      <c r="G16" s="6">
        <v>0</v>
      </c>
      <c r="H16" s="6">
        <f>-48109466/1000000</f>
        <v>-48.109465999999998</v>
      </c>
      <c r="I16" s="6">
        <v>0</v>
      </c>
      <c r="J16" s="6">
        <f t="shared" si="2"/>
        <v>70.986828000000003</v>
      </c>
      <c r="K16" s="6">
        <f>-52444564/1000000</f>
        <v>-52.444564</v>
      </c>
      <c r="L16" s="6">
        <f>107336242/1000000</f>
        <v>107.336242</v>
      </c>
      <c r="M16" s="6">
        <f>+(16090800+4350)/1000000</f>
        <v>16.09515</v>
      </c>
      <c r="N16" s="6">
        <f t="shared" si="0"/>
        <v>70.986828000000003</v>
      </c>
    </row>
    <row r="17" spans="1:14" ht="18" customHeight="1" x14ac:dyDescent="0.2">
      <c r="A17" s="13" t="s">
        <v>68</v>
      </c>
      <c r="B17" s="6">
        <f>800000/1000000</f>
        <v>0.8</v>
      </c>
      <c r="C17" s="6">
        <v>0</v>
      </c>
      <c r="D17" s="6">
        <f>9466065/1000000</f>
        <v>9.4660650000000004</v>
      </c>
      <c r="E17" s="6">
        <f>+(60598290+4870845)/1000000</f>
        <v>65.469134999999994</v>
      </c>
      <c r="F17" s="6">
        <f t="shared" si="1"/>
        <v>74.935199999999995</v>
      </c>
      <c r="G17" s="6">
        <v>0</v>
      </c>
      <c r="H17" s="6">
        <f>-13649828/1000000</f>
        <v>-13.649827999999999</v>
      </c>
      <c r="I17" s="6">
        <v>0</v>
      </c>
      <c r="J17" s="6">
        <f t="shared" si="2"/>
        <v>62.085371999999992</v>
      </c>
      <c r="K17" s="6">
        <f>-21411537/1000000</f>
        <v>-21.411536999999999</v>
      </c>
      <c r="L17" s="6">
        <f>72527971/1000000</f>
        <v>72.527970999999994</v>
      </c>
      <c r="M17" s="6">
        <f>+(10968193+747)/1000000</f>
        <v>10.96894</v>
      </c>
      <c r="N17" s="6">
        <f t="shared" si="0"/>
        <v>62.085374000000002</v>
      </c>
    </row>
    <row r="18" spans="1:14" ht="18" customHeight="1" x14ac:dyDescent="0.2">
      <c r="A18" s="13" t="s">
        <v>69</v>
      </c>
      <c r="B18" s="6">
        <f>2717297423/1000000</f>
        <v>2717.297423</v>
      </c>
      <c r="C18" s="6">
        <f>185876793/1000000</f>
        <v>185.87679299999999</v>
      </c>
      <c r="D18" s="6">
        <f>393570292/1000000</f>
        <v>393.57029199999999</v>
      </c>
      <c r="E18" s="6">
        <f>+(757992976+31436+6961285+29261537)/1000000</f>
        <v>794.24723400000005</v>
      </c>
      <c r="F18" s="6">
        <f t="shared" si="1"/>
        <v>1373.6943190000002</v>
      </c>
      <c r="G18" s="6">
        <f>79814074/1000000</f>
        <v>79.814074000000005</v>
      </c>
      <c r="H18" s="6">
        <f>15634617054/1000000</f>
        <v>15634.617054</v>
      </c>
      <c r="I18" s="6">
        <f>+(93054919+20000000)/1000000</f>
        <v>113.054919</v>
      </c>
      <c r="J18" s="6">
        <f>B18+F18+G18+H18+I18</f>
        <v>19918.477789</v>
      </c>
      <c r="K18" s="6">
        <f>14689895605/1000000</f>
        <v>14689.895605</v>
      </c>
      <c r="L18" s="6">
        <f>+(4286051480-11819317)/1000000</f>
        <v>4274.2321629999997</v>
      </c>
      <c r="M18" s="6">
        <f>+(857259214+25613611+47258310+63831+13636512+6360604+4157938)/1000000</f>
        <v>954.35001999999997</v>
      </c>
      <c r="N18" s="6">
        <f t="shared" si="0"/>
        <v>19918.477788</v>
      </c>
    </row>
    <row r="19" spans="1:14" ht="18" customHeight="1" x14ac:dyDescent="0.2">
      <c r="A19" s="13" t="s">
        <v>84</v>
      </c>
      <c r="B19" s="6">
        <f>1289735/1000000</f>
        <v>1.2897350000000001</v>
      </c>
      <c r="C19" s="6">
        <f>15338470/1000000</f>
        <v>15.338469999999999</v>
      </c>
      <c r="D19" s="6">
        <f>27609246/1000000</f>
        <v>27.609245999999999</v>
      </c>
      <c r="E19" s="6">
        <f>+(64114270+2988091)/1000000</f>
        <v>67.102361000000002</v>
      </c>
      <c r="F19" s="6">
        <f t="shared" si="1"/>
        <v>110.050077</v>
      </c>
      <c r="G19" s="6">
        <v>0</v>
      </c>
      <c r="H19" s="6">
        <f>2803277/1000000</f>
        <v>2.803277</v>
      </c>
      <c r="I19" s="6">
        <v>0</v>
      </c>
      <c r="J19" s="6">
        <f t="shared" si="2"/>
        <v>114.14308899999999</v>
      </c>
      <c r="K19" s="6">
        <f>461625/1000000</f>
        <v>0.46162500000000001</v>
      </c>
      <c r="L19" s="6">
        <f>101889320/1000000</f>
        <v>101.88932</v>
      </c>
      <c r="M19" s="6">
        <f>+(10974377+170152+647615)/1000000</f>
        <v>11.792144</v>
      </c>
      <c r="N19" s="6">
        <f t="shared" si="0"/>
        <v>114.143089</v>
      </c>
    </row>
    <row r="20" spans="1:14" ht="18" customHeight="1" x14ac:dyDescent="0.2">
      <c r="A20" s="13" t="s">
        <v>70</v>
      </c>
      <c r="B20" s="6">
        <f>+(7542520548+300267)/1000000</f>
        <v>7542.820815</v>
      </c>
      <c r="C20" s="6">
        <f>483868354/1000000</f>
        <v>483.86835400000001</v>
      </c>
      <c r="D20" s="6">
        <f>778578329/1000000</f>
        <v>778.57832900000005</v>
      </c>
      <c r="E20" s="6">
        <f>(1463589085+(389869292-307960290))/1000000</f>
        <v>1545.4980869999999</v>
      </c>
      <c r="F20" s="6">
        <f t="shared" si="1"/>
        <v>2807.9447700000001</v>
      </c>
      <c r="G20" s="6">
        <f>287203728/1000000</f>
        <v>287.20372800000001</v>
      </c>
      <c r="H20" s="6">
        <f>32907692596/1000000</f>
        <v>32907.692596000001</v>
      </c>
      <c r="I20" s="6">
        <f>307960290/1000000</f>
        <v>307.96028999999999</v>
      </c>
      <c r="J20" s="6">
        <f t="shared" si="2"/>
        <v>43853.622199000005</v>
      </c>
      <c r="K20" s="6">
        <f>32356375306/1000000</f>
        <v>32356.375306000002</v>
      </c>
      <c r="L20" s="6">
        <f>8692145889/1000000</f>
        <v>8692.1458889999994</v>
      </c>
      <c r="M20" s="6">
        <f>+(2763649052+41451952)/1000000</f>
        <v>2805.1010040000001</v>
      </c>
      <c r="N20" s="6">
        <f t="shared" si="0"/>
        <v>43853.622199000005</v>
      </c>
    </row>
    <row r="21" spans="1:14" ht="18" customHeight="1" x14ac:dyDescent="0.2">
      <c r="A21" s="13" t="s">
        <v>71</v>
      </c>
      <c r="B21" s="6">
        <f>3430569/1000000</f>
        <v>3.4305690000000002</v>
      </c>
      <c r="C21" s="6">
        <f>12521019/1000000</f>
        <v>12.521019000000001</v>
      </c>
      <c r="D21" s="6">
        <f>13842079/1000000</f>
        <v>13.842079</v>
      </c>
      <c r="E21" s="6">
        <f>(23952896+132005+71290+5842098)/1000000</f>
        <v>29.998289</v>
      </c>
      <c r="F21" s="6">
        <f t="shared" si="1"/>
        <v>56.361387000000001</v>
      </c>
      <c r="G21" s="6">
        <v>0</v>
      </c>
      <c r="H21" s="6">
        <f>-36431785/1000000</f>
        <v>-36.431784999999998</v>
      </c>
      <c r="I21" s="6">
        <v>0</v>
      </c>
      <c r="J21" s="6">
        <f t="shared" si="2"/>
        <v>23.360171000000001</v>
      </c>
      <c r="K21" s="6">
        <f>-29543310/1000000</f>
        <v>-29.543310000000002</v>
      </c>
      <c r="L21" s="6">
        <f>40986425/1000000</f>
        <v>40.986424999999997</v>
      </c>
      <c r="M21" s="6">
        <f>+(10345222+1571334)/1000000</f>
        <v>11.916556</v>
      </c>
      <c r="N21" s="6">
        <f t="shared" si="0"/>
        <v>23.359670999999995</v>
      </c>
    </row>
    <row r="22" spans="1:14" ht="18" customHeight="1" x14ac:dyDescent="0.2">
      <c r="A22" s="13" t="s">
        <v>77</v>
      </c>
      <c r="B22" s="6">
        <f>17425442/1000000</f>
        <v>17.425442</v>
      </c>
      <c r="C22" s="6">
        <f>3739276/1000000</f>
        <v>3.7392759999999998</v>
      </c>
      <c r="D22" s="6">
        <f>17827434/1000000</f>
        <v>17.827434</v>
      </c>
      <c r="E22" s="6">
        <f>59150863/1000000</f>
        <v>59.150863000000001</v>
      </c>
      <c r="F22" s="6">
        <f t="shared" si="1"/>
        <v>80.717573000000002</v>
      </c>
      <c r="G22" s="6">
        <v>0</v>
      </c>
      <c r="H22" s="6">
        <f>-57031232/1000000</f>
        <v>-57.031232000000003</v>
      </c>
      <c r="I22" s="6">
        <v>0</v>
      </c>
      <c r="J22" s="6">
        <f t="shared" si="2"/>
        <v>41.111783000000003</v>
      </c>
      <c r="K22" s="6">
        <f>-(59844528)/1000000</f>
        <v>-59.844527999999997</v>
      </c>
      <c r="L22" s="6">
        <f>96923153/1000000</f>
        <v>96.923152999999999</v>
      </c>
      <c r="M22" s="6">
        <f>+(6221189+18155-2206186)/1000000</f>
        <v>4.0331580000000002</v>
      </c>
      <c r="N22" s="6">
        <f t="shared" si="0"/>
        <v>41.111783000000003</v>
      </c>
    </row>
    <row r="23" spans="1:14" s="47" customFormat="1" ht="18" customHeight="1" x14ac:dyDescent="0.2">
      <c r="A23" s="13" t="s">
        <v>230</v>
      </c>
      <c r="B23" s="38"/>
      <c r="C23" s="38"/>
      <c r="D23" s="38"/>
      <c r="E23" s="38"/>
      <c r="F23" s="38">
        <f t="shared" si="1"/>
        <v>0</v>
      </c>
      <c r="G23" s="38"/>
      <c r="H23" s="38"/>
      <c r="I23" s="38"/>
      <c r="J23" s="38"/>
      <c r="K23" s="38"/>
      <c r="L23" s="38"/>
      <c r="M23" s="6"/>
      <c r="N23" s="38">
        <f t="shared" si="0"/>
        <v>0</v>
      </c>
    </row>
    <row r="24" spans="1:14" ht="18" customHeight="1" x14ac:dyDescent="0.2">
      <c r="A24" s="13" t="s">
        <v>72</v>
      </c>
      <c r="B24" s="6">
        <f>1839228598/1000000</f>
        <v>1839.2285979999999</v>
      </c>
      <c r="C24" s="6">
        <f>206679901/1000000</f>
        <v>206.679901</v>
      </c>
      <c r="D24" s="6">
        <f>353559869/1000000</f>
        <v>353.55986899999999</v>
      </c>
      <c r="E24" s="6">
        <f>(716446051+19778366)/1000000</f>
        <v>736.22441700000002</v>
      </c>
      <c r="F24" s="6">
        <f t="shared" si="1"/>
        <v>1296.464187</v>
      </c>
      <c r="G24" s="6">
        <f>76300575/1000000</f>
        <v>76.300574999999995</v>
      </c>
      <c r="H24" s="6">
        <f>8466593992/1000000</f>
        <v>8466.5939920000001</v>
      </c>
      <c r="I24" s="6">
        <f>13500000/1000000</f>
        <v>13.5</v>
      </c>
      <c r="J24" s="6">
        <f t="shared" si="2"/>
        <v>11692.087352</v>
      </c>
      <c r="K24" s="6">
        <f>7955474382/1000000</f>
        <v>7955.4743820000003</v>
      </c>
      <c r="L24" s="6">
        <f>3456905559/1000000</f>
        <v>3456.9055589999998</v>
      </c>
      <c r="M24" s="6">
        <f>279707411/1000000</f>
        <v>279.70741099999998</v>
      </c>
      <c r="N24" s="6">
        <f t="shared" si="0"/>
        <v>11692.087351999999</v>
      </c>
    </row>
    <row r="25" spans="1:14" ht="18" customHeight="1" x14ac:dyDescent="0.2">
      <c r="A25" s="13" t="s">
        <v>85</v>
      </c>
      <c r="B25" s="6">
        <f>6218462032/1000000</f>
        <v>6218.4620320000004</v>
      </c>
      <c r="C25" s="6">
        <f>364450150/1000000</f>
        <v>364.45015000000001</v>
      </c>
      <c r="D25" s="6">
        <f>817342659/1000000</f>
        <v>817.34265900000003</v>
      </c>
      <c r="E25" s="6">
        <f>1292687997/1000000</f>
        <v>1292.687997</v>
      </c>
      <c r="F25" s="6">
        <f t="shared" si="1"/>
        <v>2474.480806</v>
      </c>
      <c r="G25" s="6">
        <f>241713432/1000000</f>
        <v>241.71343200000001</v>
      </c>
      <c r="H25" s="6">
        <f>22866743790/1000000</f>
        <v>22866.74379</v>
      </c>
      <c r="I25" s="6">
        <f>160274270/1000000</f>
        <v>160.27427</v>
      </c>
      <c r="J25" s="6">
        <f t="shared" si="2"/>
        <v>31961.674330000002</v>
      </c>
      <c r="K25" s="6">
        <f>(25053046282+1414800)/1000000</f>
        <v>25054.461082000002</v>
      </c>
      <c r="L25" s="6">
        <f>5002754828/1000000</f>
        <v>5002.7548280000001</v>
      </c>
      <c r="M25" s="6">
        <f>+(1821166689+83291731)/1000000</f>
        <v>1904.4584199999999</v>
      </c>
      <c r="N25" s="6">
        <f t="shared" si="0"/>
        <v>31961.674330000002</v>
      </c>
    </row>
    <row r="26" spans="1:14" ht="18" customHeight="1" x14ac:dyDescent="0.2">
      <c r="A26" s="13" t="s">
        <v>86</v>
      </c>
      <c r="B26" s="6">
        <f>1928227681/1000000</f>
        <v>1928.2276810000001</v>
      </c>
      <c r="C26" s="6">
        <f>82236335/1000000</f>
        <v>82.236334999999997</v>
      </c>
      <c r="D26" s="6">
        <f>101187699/1000000</f>
        <v>101.18769899999999</v>
      </c>
      <c r="E26" s="6">
        <f>+(385821156+43558198)/1000000</f>
        <v>429.37935399999998</v>
      </c>
      <c r="F26" s="6">
        <f t="shared" si="1"/>
        <v>612.80338800000004</v>
      </c>
      <c r="G26" s="6">
        <f>64800000/1000000</f>
        <v>64.8</v>
      </c>
      <c r="H26" s="6">
        <f>1288257466/1000000</f>
        <v>1288.257466</v>
      </c>
      <c r="I26" s="6">
        <v>0</v>
      </c>
      <c r="J26" s="6">
        <f t="shared" si="2"/>
        <v>3894.0885350000003</v>
      </c>
      <c r="K26" s="6">
        <f>2732725832/1000000</f>
        <v>2732.7258320000001</v>
      </c>
      <c r="L26" s="6">
        <f>1084566176/1000000</f>
        <v>1084.566176</v>
      </c>
      <c r="M26" s="6">
        <f>+(72678680+4116847)/1000000</f>
        <v>76.795527000000007</v>
      </c>
      <c r="N26" s="6">
        <f t="shared" si="0"/>
        <v>3894.0875350000006</v>
      </c>
    </row>
    <row r="27" spans="1:14" ht="18" customHeight="1" x14ac:dyDescent="0.2">
      <c r="A27" s="13" t="s">
        <v>87</v>
      </c>
      <c r="B27" s="6">
        <f>1321729612/1000000</f>
        <v>1321.7296120000001</v>
      </c>
      <c r="C27" s="6">
        <f>228320420/1000000</f>
        <v>228.32042000000001</v>
      </c>
      <c r="D27" s="6">
        <f>222145927/1000000</f>
        <v>222.145927</v>
      </c>
      <c r="E27" s="6">
        <f>411229481/1000000</f>
        <v>411.22948100000002</v>
      </c>
      <c r="F27" s="6">
        <f t="shared" si="1"/>
        <v>861.69582800000012</v>
      </c>
      <c r="G27" s="6">
        <f>25930800/1000000</f>
        <v>25.930800000000001</v>
      </c>
      <c r="H27" s="6">
        <f>5216451077/1000000</f>
        <v>5216.4510769999997</v>
      </c>
      <c r="I27" s="6">
        <f>18500000/1000000</f>
        <v>18.5</v>
      </c>
      <c r="J27" s="6">
        <f t="shared" si="2"/>
        <v>7444.3073169999998</v>
      </c>
      <c r="K27" s="6">
        <f>4761126292/1000000</f>
        <v>4761.1262919999999</v>
      </c>
      <c r="L27" s="6">
        <f>2290976709/1000000</f>
        <v>2290.976709</v>
      </c>
      <c r="M27" s="6">
        <f>+(383185402+9018914)/1000000</f>
        <v>392.20431600000001</v>
      </c>
      <c r="N27" s="6">
        <f t="shared" si="0"/>
        <v>7444.3073169999998</v>
      </c>
    </row>
    <row r="28" spans="1:14" ht="18" customHeight="1" x14ac:dyDescent="0.2">
      <c r="A28" s="13" t="s">
        <v>78</v>
      </c>
      <c r="B28" s="6">
        <f>1058869264/1000000</f>
        <v>1058.8692639999999</v>
      </c>
      <c r="C28" s="6">
        <f>194599914/1000000</f>
        <v>194.59991400000001</v>
      </c>
      <c r="D28" s="6">
        <f>366357389/1000000</f>
        <v>366.35738900000001</v>
      </c>
      <c r="E28" s="6">
        <f>+(347004323+38941550)/1000000</f>
        <v>385.94587300000001</v>
      </c>
      <c r="F28" s="6">
        <f t="shared" si="1"/>
        <v>946.90317600000003</v>
      </c>
      <c r="G28" s="6">
        <f>27739181/1000000</f>
        <v>27.739180999999999</v>
      </c>
      <c r="H28" s="6">
        <f>4267523041/1000000</f>
        <v>4267.5230410000004</v>
      </c>
      <c r="I28" s="6">
        <f>13232960/1000000</f>
        <v>13.23296</v>
      </c>
      <c r="J28" s="6">
        <f t="shared" si="2"/>
        <v>6314.2676220000003</v>
      </c>
      <c r="K28" s="6">
        <f>4023878034/1000000</f>
        <v>4023.8780339999998</v>
      </c>
      <c r="L28" s="6">
        <f>2045855072/1000000</f>
        <v>2045.8550720000001</v>
      </c>
      <c r="M28" s="6">
        <f>+(239670386+4864130)/1000000</f>
        <v>244.534516</v>
      </c>
      <c r="N28" s="6">
        <f t="shared" si="0"/>
        <v>6314.2676219999994</v>
      </c>
    </row>
    <row r="29" spans="1:14" ht="18" customHeight="1" x14ac:dyDescent="0.2">
      <c r="A29" s="13" t="s">
        <v>73</v>
      </c>
      <c r="B29" s="6">
        <f>1792856344/1000000</f>
        <v>1792.856344</v>
      </c>
      <c r="C29" s="6">
        <f>194226798/1000000</f>
        <v>194.226798</v>
      </c>
      <c r="D29" s="6">
        <f>229683137/1000000</f>
        <v>229.68313699999999</v>
      </c>
      <c r="E29" s="6">
        <f>(302058562+47507499+200000)/1000000</f>
        <v>349.76606099999998</v>
      </c>
      <c r="F29" s="6">
        <f>+C29+D29+E29</f>
        <v>773.67599599999994</v>
      </c>
      <c r="G29" s="6">
        <f>152359213/1000000</f>
        <v>152.35921300000001</v>
      </c>
      <c r="H29" s="6">
        <f>8517615065/1000000</f>
        <v>8517.615065</v>
      </c>
      <c r="I29" s="6">
        <f>133295647/1000000</f>
        <v>133.295647</v>
      </c>
      <c r="J29" s="6">
        <f t="shared" si="2"/>
        <v>11369.802265</v>
      </c>
      <c r="K29" s="6">
        <f>(8607337747+2996213)/1000000</f>
        <v>8610.3339599999999</v>
      </c>
      <c r="L29" s="6">
        <f>+(1820948950-5326250)/1000000</f>
        <v>1815.6226999999999</v>
      </c>
      <c r="M29" s="6">
        <f>+(780989048+140014746+22841811)/1000000</f>
        <v>943.84560499999998</v>
      </c>
      <c r="N29" s="6">
        <f t="shared" si="0"/>
        <v>11369.802265</v>
      </c>
    </row>
    <row r="30" spans="1:14" ht="18" customHeight="1" x14ac:dyDescent="0.2">
      <c r="A30" s="13" t="s">
        <v>74</v>
      </c>
      <c r="B30" s="6">
        <f>558037325/1000000</f>
        <v>558.03732500000001</v>
      </c>
      <c r="C30" s="6">
        <f>85468725/1000000</f>
        <v>85.468725000000006</v>
      </c>
      <c r="D30" s="6">
        <f>199331693/1000000</f>
        <v>199.331693</v>
      </c>
      <c r="E30" s="6">
        <f>+(448674655+7195851)/1000000</f>
        <v>455.87050599999998</v>
      </c>
      <c r="F30" s="6">
        <f t="shared" si="1"/>
        <v>740.67092400000001</v>
      </c>
      <c r="G30" s="6">
        <f>10500000/1000000</f>
        <v>10.5</v>
      </c>
      <c r="H30" s="6">
        <f>1729083538/1000000</f>
        <v>1729.0835380000001</v>
      </c>
      <c r="I30" s="6">
        <v>0</v>
      </c>
      <c r="J30" s="6">
        <f t="shared" si="2"/>
        <v>3038.2917870000001</v>
      </c>
      <c r="K30" s="6">
        <f>1758768745/1000000</f>
        <v>1758.7687450000001</v>
      </c>
      <c r="L30" s="6">
        <f>1188614190/1000000</f>
        <v>1188.61419</v>
      </c>
      <c r="M30" s="6">
        <f>(6910757+83998095)/1000000</f>
        <v>90.908851999999996</v>
      </c>
      <c r="N30" s="6">
        <f t="shared" si="0"/>
        <v>3038.2917870000001</v>
      </c>
    </row>
    <row r="31" spans="1:14" ht="18" customHeight="1" x14ac:dyDescent="0.2">
      <c r="A31" s="13" t="s">
        <v>88</v>
      </c>
      <c r="B31" s="6">
        <f>746713783/1000000</f>
        <v>746.71378300000003</v>
      </c>
      <c r="C31" s="6">
        <f>51553220/1000000</f>
        <v>51.553220000000003</v>
      </c>
      <c r="D31" s="6">
        <f>120290847/1000000</f>
        <v>120.290847</v>
      </c>
      <c r="E31" s="6">
        <f>+(421124279+44588973)/1000000</f>
        <v>465.71325200000001</v>
      </c>
      <c r="F31" s="6">
        <f t="shared" si="1"/>
        <v>637.55731900000001</v>
      </c>
      <c r="G31" s="6">
        <v>0</v>
      </c>
      <c r="H31" s="6">
        <f>3035958692/1000000</f>
        <v>3035.9586920000002</v>
      </c>
      <c r="I31" s="6">
        <v>0</v>
      </c>
      <c r="J31" s="6">
        <f>B31+F31+G31+H31+I31</f>
        <v>4420.2297940000008</v>
      </c>
      <c r="K31" s="6">
        <f>3154972657/1000000</f>
        <v>3154.9726569999998</v>
      </c>
      <c r="L31" s="6">
        <f>1081243658/1000000</f>
        <v>1081.2436580000001</v>
      </c>
      <c r="M31" s="6">
        <f>+(168285859+7316639+8410981)/1000000</f>
        <v>184.01347899999999</v>
      </c>
      <c r="N31" s="6">
        <f t="shared" si="0"/>
        <v>4420.2297939999999</v>
      </c>
    </row>
    <row r="32" spans="1:14" ht="18" customHeight="1" x14ac:dyDescent="0.2">
      <c r="A32" s="13" t="s">
        <v>89</v>
      </c>
      <c r="B32" s="6">
        <f>34570434/1000000</f>
        <v>34.570433999999999</v>
      </c>
      <c r="C32" s="6">
        <f>19660054/1000000</f>
        <v>19.660053999999999</v>
      </c>
      <c r="D32" s="6">
        <f>42770132/1000000</f>
        <v>42.770131999999997</v>
      </c>
      <c r="E32" s="6">
        <f>+(135494025+16468289)/1000000</f>
        <v>151.96231399999999</v>
      </c>
      <c r="F32" s="6">
        <f t="shared" si="1"/>
        <v>214.39249999999998</v>
      </c>
      <c r="G32" s="6">
        <v>0</v>
      </c>
      <c r="H32" s="6">
        <f>253073934/1000000</f>
        <v>253.07393400000001</v>
      </c>
      <c r="I32" s="6">
        <v>0</v>
      </c>
      <c r="J32" s="6">
        <f t="shared" si="2"/>
        <v>502.03686800000003</v>
      </c>
      <c r="K32" s="6">
        <f>57496791/1000000</f>
        <v>57.496791000000002</v>
      </c>
      <c r="L32" s="6">
        <f>405720578/1000000</f>
        <v>405.72057799999999</v>
      </c>
      <c r="M32" s="6">
        <f>+(33060314+5759184)/1000000</f>
        <v>38.819498000000003</v>
      </c>
      <c r="N32" s="6">
        <f t="shared" si="0"/>
        <v>502.03686699999997</v>
      </c>
    </row>
    <row r="33" spans="1:14" ht="18" customHeight="1" x14ac:dyDescent="0.2">
      <c r="A33" s="13" t="s">
        <v>75</v>
      </c>
      <c r="B33" s="6">
        <f>1068958/1000000</f>
        <v>1.0689580000000001</v>
      </c>
      <c r="C33" s="6">
        <f>10614436/1000000</f>
        <v>10.614436</v>
      </c>
      <c r="D33" s="6">
        <f>10805607/1000000</f>
        <v>10.805607</v>
      </c>
      <c r="E33" s="6">
        <f>+(26521077+2643502)/1000000</f>
        <v>29.164579</v>
      </c>
      <c r="F33" s="6">
        <f>+C33+D33+E33</f>
        <v>50.584621999999996</v>
      </c>
      <c r="G33" s="6">
        <v>0</v>
      </c>
      <c r="H33" s="6">
        <f>-28166750/1000000</f>
        <v>-28.16675</v>
      </c>
      <c r="I33" s="6">
        <f>57535/1000000</f>
        <v>5.7535000000000003E-2</v>
      </c>
      <c r="J33" s="6">
        <f t="shared" si="2"/>
        <v>23.544364999999999</v>
      </c>
      <c r="K33" s="6">
        <f>-20558400/1000000</f>
        <v>-20.558399999999999</v>
      </c>
      <c r="L33" s="6">
        <f>32770641/1000000</f>
        <v>32.770640999999998</v>
      </c>
      <c r="M33" s="6">
        <f>+(11331654+470)/1000000</f>
        <v>11.332124</v>
      </c>
      <c r="N33" s="6">
        <f t="shared" si="0"/>
        <v>23.544364999999999</v>
      </c>
    </row>
    <row r="34" spans="1:14" ht="18" customHeight="1" x14ac:dyDescent="0.2">
      <c r="A34" s="13" t="s">
        <v>90</v>
      </c>
      <c r="B34" s="6">
        <f>3972582/1000000</f>
        <v>3.9725820000000001</v>
      </c>
      <c r="C34" s="6">
        <f>10144071/1000000</f>
        <v>10.144071</v>
      </c>
      <c r="D34" s="6">
        <f>25874213/1000000</f>
        <v>25.874213000000001</v>
      </c>
      <c r="E34" s="6">
        <f>+(136942247)/1000000</f>
        <v>136.94224700000001</v>
      </c>
      <c r="F34" s="6">
        <f t="shared" si="1"/>
        <v>172.960531</v>
      </c>
      <c r="G34" s="6">
        <v>0</v>
      </c>
      <c r="H34" s="6">
        <f>-4318537/1000000</f>
        <v>-4.3185370000000001</v>
      </c>
      <c r="I34" s="6">
        <v>0</v>
      </c>
      <c r="J34" s="6">
        <f t="shared" si="2"/>
        <v>172.614576</v>
      </c>
      <c r="K34" s="6">
        <f>-22665822/1000000</f>
        <v>-22.665821999999999</v>
      </c>
      <c r="L34" s="6">
        <f>184833800/1000000</f>
        <v>184.8338</v>
      </c>
      <c r="M34" s="6">
        <f>+(9474411+972187)/1000000</f>
        <v>10.446598</v>
      </c>
      <c r="N34" s="6">
        <f t="shared" si="0"/>
        <v>172.614576</v>
      </c>
    </row>
    <row r="35" spans="1:14" ht="18" customHeight="1" x14ac:dyDescent="0.2">
      <c r="A35" s="13" t="s">
        <v>91</v>
      </c>
      <c r="B35" s="6">
        <f>4807703/1000000</f>
        <v>4.8077030000000001</v>
      </c>
      <c r="C35" s="6">
        <f>21576167/1000000</f>
        <v>21.576167000000002</v>
      </c>
      <c r="D35" s="6">
        <f>58929999/1000000</f>
        <v>58.929999000000002</v>
      </c>
      <c r="E35" s="6">
        <f>+(133324137+10916314)/1000000</f>
        <v>144.24045100000001</v>
      </c>
      <c r="F35" s="6">
        <f t="shared" si="1"/>
        <v>224.74661700000001</v>
      </c>
      <c r="G35" s="6">
        <v>0</v>
      </c>
      <c r="H35" s="6">
        <f>-57494938/1000000</f>
        <v>-57.494937999999998</v>
      </c>
      <c r="I35" s="6">
        <v>0</v>
      </c>
      <c r="J35" s="6">
        <f t="shared" si="2"/>
        <v>172.05938200000003</v>
      </c>
      <c r="K35" s="6">
        <f>-87078387/1000000</f>
        <v>-87.078387000000006</v>
      </c>
      <c r="L35" s="6">
        <f>249063877/1000000</f>
        <v>249.06387699999999</v>
      </c>
      <c r="M35" s="6">
        <f>+(10064864+9028)/1000000</f>
        <v>10.073892000000001</v>
      </c>
      <c r="N35" s="6">
        <f t="shared" si="0"/>
        <v>172.05938199999997</v>
      </c>
    </row>
    <row r="36" spans="1:14" ht="18" customHeight="1" x14ac:dyDescent="0.2">
      <c r="A36" s="10" t="s">
        <v>92</v>
      </c>
      <c r="B36" s="6">
        <f>SUM(B5:B35)</f>
        <v>53228.460312000003</v>
      </c>
      <c r="C36" s="6">
        <f t="shared" ref="C36:N36" si="4">SUM(C5:C35)</f>
        <v>4550.9923479999989</v>
      </c>
      <c r="D36" s="6">
        <f t="shared" si="4"/>
        <v>8878.9625269999997</v>
      </c>
      <c r="E36" s="6">
        <f t="shared" si="4"/>
        <v>14066.544574000001</v>
      </c>
      <c r="F36" s="6">
        <f>SUM(F5:F35)</f>
        <v>27496.499448999999</v>
      </c>
      <c r="G36" s="6">
        <f t="shared" si="4"/>
        <v>1431.860692</v>
      </c>
      <c r="H36" s="6">
        <f>SUM(H5:H35)</f>
        <v>287449.18037400016</v>
      </c>
      <c r="I36" s="6">
        <f t="shared" si="4"/>
        <v>3079.8015019999998</v>
      </c>
      <c r="J36" s="6">
        <f>SUM(J5:J35)</f>
        <v>372685.80232900003</v>
      </c>
      <c r="K36" s="6">
        <f t="shared" si="4"/>
        <v>272058.40283799998</v>
      </c>
      <c r="L36" s="6">
        <f t="shared" si="4"/>
        <v>76234.060955999972</v>
      </c>
      <c r="M36" s="6">
        <f t="shared" si="4"/>
        <v>24393.337033999996</v>
      </c>
      <c r="N36" s="6">
        <f t="shared" si="4"/>
        <v>372685.80082800001</v>
      </c>
    </row>
    <row r="37" spans="1:14" ht="18" customHeight="1" x14ac:dyDescent="0.2">
      <c r="A37" s="13" t="s">
        <v>93</v>
      </c>
      <c r="B37" s="6">
        <f>3203033550/1000000</f>
        <v>3203.0335500000001</v>
      </c>
      <c r="C37" s="6">
        <f>485988241/1000000</f>
        <v>485.98824100000002</v>
      </c>
      <c r="D37" s="6">
        <f>423877704/1000000</f>
        <v>423.87770399999999</v>
      </c>
      <c r="E37" s="6">
        <f>+(975902170+136583934+800000+16271248+8415118)/1000000</f>
        <v>1137.9724699999999</v>
      </c>
      <c r="F37" s="6">
        <f t="shared" si="1"/>
        <v>2047.8384149999999</v>
      </c>
      <c r="G37" s="6">
        <v>0</v>
      </c>
      <c r="H37" s="6">
        <f>18522854067/1000000</f>
        <v>18522.854067</v>
      </c>
      <c r="I37" s="6">
        <f>148010650/1000000</f>
        <v>148.01065</v>
      </c>
      <c r="J37" s="6">
        <f t="shared" si="2"/>
        <v>23921.736681999999</v>
      </c>
      <c r="K37" s="6">
        <f>17846480267/1000000</f>
        <v>17846.480266999999</v>
      </c>
      <c r="L37" s="6">
        <f>+(4713356660)/1000000</f>
        <v>4713.3566600000004</v>
      </c>
      <c r="M37" s="6">
        <f>(1341215706+20684051)/1000000</f>
        <v>1361.8997569999999</v>
      </c>
      <c r="N37" s="6">
        <f>+SUM(K37:M37)</f>
        <v>23921.736684</v>
      </c>
    </row>
    <row r="38" spans="1:14" ht="18" customHeight="1" x14ac:dyDescent="0.2">
      <c r="A38" s="10" t="s">
        <v>94</v>
      </c>
      <c r="B38" s="6">
        <f>+B36+B37</f>
        <v>56431.493862000003</v>
      </c>
      <c r="C38" s="6">
        <f t="shared" ref="C38:N38" si="5">+C36+C37</f>
        <v>5036.9805889999989</v>
      </c>
      <c r="D38" s="6">
        <f t="shared" si="5"/>
        <v>9302.8402310000001</v>
      </c>
      <c r="E38" s="6">
        <f t="shared" si="5"/>
        <v>15204.517044000002</v>
      </c>
      <c r="F38" s="6">
        <f>+F36+F37</f>
        <v>29544.337863999997</v>
      </c>
      <c r="G38" s="6">
        <f t="shared" si="5"/>
        <v>1431.860692</v>
      </c>
      <c r="H38" s="6">
        <f t="shared" si="5"/>
        <v>305972.03444100014</v>
      </c>
      <c r="I38" s="6">
        <f t="shared" si="5"/>
        <v>3227.812152</v>
      </c>
      <c r="J38" s="6">
        <f>+J36+J37</f>
        <v>396607.53901100002</v>
      </c>
      <c r="K38" s="6">
        <f t="shared" si="5"/>
        <v>289904.88310499996</v>
      </c>
      <c r="L38" s="6">
        <f t="shared" si="5"/>
        <v>80947.417615999977</v>
      </c>
      <c r="M38" s="6">
        <f>+M36+M37</f>
        <v>25755.236790999996</v>
      </c>
      <c r="N38" s="6">
        <f t="shared" si="5"/>
        <v>396607.53751200001</v>
      </c>
    </row>
  </sheetData>
  <mergeCells count="4">
    <mergeCell ref="A3:A4"/>
    <mergeCell ref="B3:J3"/>
    <mergeCell ref="K3:N3"/>
    <mergeCell ref="M2:N2"/>
  </mergeCells>
  <pageMargins left="0.7" right="0.7" top="0.75" bottom="0.75" header="0.3" footer="0.3"/>
  <pageSetup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defaultRowHeight="12.75" x14ac:dyDescent="0.2"/>
  <cols>
    <col min="1" max="1" width="41.140625" style="14" customWidth="1"/>
    <col min="2" max="2" width="9" style="14" bestFit="1" customWidth="1"/>
    <col min="3" max="3" width="11.140625" style="14" customWidth="1"/>
    <col min="4" max="4" width="10" style="14" customWidth="1"/>
    <col min="5" max="7" width="9.140625" style="14"/>
    <col min="8" max="8" width="8.140625" style="14" customWidth="1"/>
    <col min="9" max="9" width="9.140625" style="14"/>
    <col min="10" max="10" width="9.85546875" style="14" bestFit="1" customWidth="1"/>
    <col min="11" max="11" width="9.140625" style="14"/>
    <col min="12" max="12" width="9.28515625" style="14" customWidth="1"/>
    <col min="13" max="13" width="9.85546875" style="14" bestFit="1" customWidth="1"/>
    <col min="14" max="14" width="10.7109375" style="14" bestFit="1" customWidth="1"/>
    <col min="15" max="16384" width="9.140625" style="14"/>
  </cols>
  <sheetData>
    <row r="1" spans="1:14" ht="15.75" x14ac:dyDescent="0.2">
      <c r="A1" s="16" t="s">
        <v>226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 x14ac:dyDescent="0.2">
      <c r="A2" s="11"/>
      <c r="M2" s="140" t="s">
        <v>0</v>
      </c>
      <c r="N2" s="140"/>
    </row>
    <row r="3" spans="1:14" ht="20.25" customHeight="1" x14ac:dyDescent="0.2">
      <c r="A3" s="134" t="s">
        <v>61</v>
      </c>
      <c r="B3" s="135" t="s">
        <v>111</v>
      </c>
      <c r="C3" s="135"/>
      <c r="D3" s="135"/>
      <c r="E3" s="135"/>
      <c r="F3" s="137" t="s">
        <v>9</v>
      </c>
      <c r="G3" s="137" t="s">
        <v>103</v>
      </c>
      <c r="H3" s="137" t="s">
        <v>109</v>
      </c>
      <c r="I3" s="137" t="s">
        <v>107</v>
      </c>
      <c r="J3" s="137" t="s">
        <v>24</v>
      </c>
      <c r="K3" s="137" t="s">
        <v>25</v>
      </c>
      <c r="L3" s="137" t="s">
        <v>225</v>
      </c>
      <c r="M3" s="137" t="s">
        <v>115</v>
      </c>
      <c r="N3" s="139" t="s">
        <v>96</v>
      </c>
    </row>
    <row r="4" spans="1:14" ht="48" customHeight="1" x14ac:dyDescent="0.2">
      <c r="A4" s="134"/>
      <c r="B4" s="15" t="s">
        <v>112</v>
      </c>
      <c r="C4" s="15" t="s">
        <v>113</v>
      </c>
      <c r="D4" s="15" t="s">
        <v>114</v>
      </c>
      <c r="E4" s="15" t="s">
        <v>19</v>
      </c>
      <c r="F4" s="138"/>
      <c r="G4" s="138"/>
      <c r="H4" s="138"/>
      <c r="I4" s="138"/>
      <c r="J4" s="138"/>
      <c r="K4" s="138"/>
      <c r="L4" s="138"/>
      <c r="M4" s="138"/>
      <c r="N4" s="139"/>
    </row>
    <row r="5" spans="1:14" ht="18" customHeight="1" x14ac:dyDescent="0.2">
      <c r="A5" s="13" t="s">
        <v>62</v>
      </c>
      <c r="B5" s="6">
        <f>+(5386721591+16031003)/1000000</f>
        <v>5402.7525939999996</v>
      </c>
      <c r="C5" s="6">
        <f>+(17613430811+104984020)/1000000</f>
        <v>17718.414830999998</v>
      </c>
      <c r="D5" s="6">
        <f>+(35241150+130468024+69697410+365751469+206868160+352183100)/1000000</f>
        <v>1160.2093130000001</v>
      </c>
      <c r="E5" s="6">
        <f>SUM(B5:D5)</f>
        <v>24281.376737999999</v>
      </c>
      <c r="F5" s="6">
        <f>+RA_Life!L5</f>
        <v>24281.376737999999</v>
      </c>
      <c r="G5" s="6">
        <f>+RA_Life!B5</f>
        <v>14319.940560999999</v>
      </c>
      <c r="H5" s="6">
        <f>+RA_Life!I5</f>
        <v>1947.665236</v>
      </c>
      <c r="I5" s="6">
        <f>+RA_Life!G5</f>
        <v>0</v>
      </c>
      <c r="J5" s="6">
        <f>+BS_Life!B5</f>
        <v>90065.518100000001</v>
      </c>
      <c r="K5" s="6">
        <f>+BS_Life!C5</f>
        <v>22717.909284000001</v>
      </c>
      <c r="L5" s="6">
        <f>+RA_Life!M5</f>
        <v>11055.682285000001</v>
      </c>
      <c r="M5" s="6">
        <f>+RA_Life!H5</f>
        <v>107781.24757000001</v>
      </c>
      <c r="N5" s="6">
        <f>+BS_Life!H5</f>
        <v>126747.68932500001</v>
      </c>
    </row>
    <row r="6" spans="1:14" ht="18" customHeight="1" x14ac:dyDescent="0.2">
      <c r="A6" s="13" t="s">
        <v>79</v>
      </c>
      <c r="B6" s="6">
        <f>40436243/1000000</f>
        <v>40.436242999999997</v>
      </c>
      <c r="C6" s="6">
        <f>10899559/1000000</f>
        <v>10.899559</v>
      </c>
      <c r="D6" s="6">
        <f>9527606/1000000</f>
        <v>9.5276060000000005</v>
      </c>
      <c r="E6" s="6">
        <f t="shared" ref="E6:E37" si="0">SUM(B6:D6)</f>
        <v>60.863408</v>
      </c>
      <c r="F6" s="6">
        <f>+RA_Life!L6</f>
        <v>60.564526999999998</v>
      </c>
      <c r="G6" s="6">
        <f>+RA_Life!B6</f>
        <v>2.6305540000000001</v>
      </c>
      <c r="H6" s="6">
        <f>+RA_Life!I6</f>
        <v>0</v>
      </c>
      <c r="I6" s="6">
        <f>+RA_Life!G6</f>
        <v>0</v>
      </c>
      <c r="J6" s="6">
        <f>+BS_Life!B6</f>
        <v>15</v>
      </c>
      <c r="K6" s="6">
        <f>+BS_Life!C6</f>
        <v>150</v>
      </c>
      <c r="L6" s="6">
        <f>+RA_Life!M6</f>
        <v>11.251562</v>
      </c>
      <c r="M6" s="6">
        <f>+RA_Life!H6</f>
        <v>7.2803550000000001</v>
      </c>
      <c r="N6" s="6">
        <f>+BS_Life!H6</f>
        <v>224.548067</v>
      </c>
    </row>
    <row r="7" spans="1:14" ht="18" customHeight="1" x14ac:dyDescent="0.2">
      <c r="A7" s="13" t="s">
        <v>80</v>
      </c>
      <c r="B7" s="6">
        <f>61257588/1000000</f>
        <v>61.257587999999998</v>
      </c>
      <c r="C7" s="6">
        <f>79453837/1000000</f>
        <v>79.453836999999993</v>
      </c>
      <c r="D7" s="6">
        <f>1011500/1000000</f>
        <v>1.0115000000000001</v>
      </c>
      <c r="E7" s="6">
        <f t="shared" si="0"/>
        <v>141.722925</v>
      </c>
      <c r="F7" s="6">
        <f>+RA_Life!L7</f>
        <v>141.66682700000001</v>
      </c>
      <c r="G7" s="6">
        <f>+RA_Life!B7</f>
        <v>123.299358</v>
      </c>
      <c r="H7" s="6">
        <f>+RA_Life!I7</f>
        <v>0</v>
      </c>
      <c r="I7" s="6">
        <f>+RA_Life!G7</f>
        <v>0</v>
      </c>
      <c r="J7" s="6">
        <f>+BS_Life!B7</f>
        <v>291.04560099999998</v>
      </c>
      <c r="K7" s="6">
        <f>+BS_Life!C7</f>
        <v>0</v>
      </c>
      <c r="L7" s="6">
        <f>+RA_Life!M7</f>
        <v>25.318408000000002</v>
      </c>
      <c r="M7" s="6">
        <f>+RA_Life!H7</f>
        <v>767.52881000000002</v>
      </c>
      <c r="N7" s="6">
        <f>+BS_Life!H7</f>
        <v>1167.7836400000001</v>
      </c>
    </row>
    <row r="8" spans="1:14" ht="18" customHeight="1" x14ac:dyDescent="0.2">
      <c r="A8" s="13" t="s">
        <v>63</v>
      </c>
      <c r="B8" s="6">
        <f>190247801/1000000</f>
        <v>190.24780100000001</v>
      </c>
      <c r="C8" s="6">
        <f>58851228/1000000</f>
        <v>58.851227999999999</v>
      </c>
      <c r="D8" s="6">
        <f>4142393/1000000</f>
        <v>4.1423930000000002</v>
      </c>
      <c r="E8" s="6">
        <f t="shared" si="0"/>
        <v>253.241422</v>
      </c>
      <c r="F8" s="6">
        <f>+RA_Life!L8</f>
        <v>171.22735399999999</v>
      </c>
      <c r="G8" s="6">
        <f>+RA_Life!B8</f>
        <v>10.365769</v>
      </c>
      <c r="H8" s="6">
        <f>+RA_Life!I8</f>
        <v>0</v>
      </c>
      <c r="I8" s="6">
        <f>+RA_Life!G8</f>
        <v>0</v>
      </c>
      <c r="J8" s="6">
        <f>+BS_Life!B8</f>
        <v>18.342171</v>
      </c>
      <c r="K8" s="6">
        <f>+BS_Life!C8</f>
        <v>131.59169</v>
      </c>
      <c r="L8" s="6">
        <f>+RA_Life!M8</f>
        <v>19.429068999999998</v>
      </c>
      <c r="M8" s="6">
        <f>+RA_Life!H8</f>
        <v>5.3045960000000001</v>
      </c>
      <c r="N8" s="6">
        <f>+BS_Life!H8</f>
        <v>242.71211600000004</v>
      </c>
    </row>
    <row r="9" spans="1:14" ht="18" customHeight="1" x14ac:dyDescent="0.2">
      <c r="A9" s="13" t="s">
        <v>81</v>
      </c>
      <c r="B9" s="6">
        <f>44298161/1000000</f>
        <v>44.298161</v>
      </c>
      <c r="C9" s="6">
        <f>29819370/1000000</f>
        <v>29.819369999999999</v>
      </c>
      <c r="D9" s="6">
        <f>10973838/1000000</f>
        <v>10.973838000000001</v>
      </c>
      <c r="E9" s="6">
        <f t="shared" si="0"/>
        <v>85.091369</v>
      </c>
      <c r="F9" s="6">
        <f>+RA_Life!L9</f>
        <v>84.271293999999997</v>
      </c>
      <c r="G9" s="6">
        <f>+RA_Life!B9</f>
        <v>3.595342</v>
      </c>
      <c r="H9" s="6">
        <f>+RA_Life!I9</f>
        <v>0</v>
      </c>
      <c r="I9" s="6">
        <f>+RA_Life!G9</f>
        <v>0</v>
      </c>
      <c r="J9" s="6">
        <f>+BS_Life!B9</f>
        <v>15</v>
      </c>
      <c r="K9" s="6">
        <f>+BS_Life!C9</f>
        <v>164.85231200000001</v>
      </c>
      <c r="L9" s="6">
        <f>+RA_Life!M9</f>
        <v>11.854044</v>
      </c>
      <c r="M9" s="6">
        <f>+RA_Life!H9</f>
        <v>12.062265</v>
      </c>
      <c r="N9" s="6">
        <f>+BS_Life!H9</f>
        <v>239.59205900000001</v>
      </c>
    </row>
    <row r="10" spans="1:14" ht="18" customHeight="1" x14ac:dyDescent="0.2">
      <c r="A10" s="13" t="s">
        <v>82</v>
      </c>
      <c r="B10" s="6">
        <f>1316718233/1000000</f>
        <v>1316.7182330000001</v>
      </c>
      <c r="C10" s="6">
        <f>4428930063/1000000</f>
        <v>4428.9300629999998</v>
      </c>
      <c r="D10" s="6">
        <f>505356396/1000000</f>
        <v>505.35639600000002</v>
      </c>
      <c r="E10" s="6">
        <f t="shared" si="0"/>
        <v>6251.0046919999995</v>
      </c>
      <c r="F10" s="6">
        <f>+RA_Life!L10</f>
        <v>6175.0529530000003</v>
      </c>
      <c r="G10" s="6">
        <f>+RA_Life!B10</f>
        <v>5337.4083220000002</v>
      </c>
      <c r="H10" s="6">
        <f>+RA_Life!I10</f>
        <v>225</v>
      </c>
      <c r="I10" s="6">
        <f>+RA_Life!G10</f>
        <v>247.5</v>
      </c>
      <c r="J10" s="6">
        <f>+BS_Life!B10</f>
        <v>28625.516082999999</v>
      </c>
      <c r="K10" s="6">
        <f>+BS_Life!C10</f>
        <v>8720.4081249999999</v>
      </c>
      <c r="L10" s="6">
        <f>+RA_Life!M10</f>
        <v>3511.8656759999999</v>
      </c>
      <c r="M10" s="6">
        <f>+RA_Life!H10</f>
        <v>36742.205130000002</v>
      </c>
      <c r="N10" s="6">
        <f>+BS_Life!H10</f>
        <v>43732.359558999997</v>
      </c>
    </row>
    <row r="11" spans="1:14" ht="18" customHeight="1" x14ac:dyDescent="0.2">
      <c r="A11" s="13" t="s">
        <v>83</v>
      </c>
      <c r="B11" s="6">
        <f>(108191529+4262650)/1000000</f>
        <v>112.454179</v>
      </c>
      <c r="C11" s="6">
        <f>19696762/1000000</f>
        <v>19.696762</v>
      </c>
      <c r="D11" s="6">
        <f>1610851/1000000</f>
        <v>1.610851</v>
      </c>
      <c r="E11" s="6">
        <f t="shared" si="0"/>
        <v>133.76179199999999</v>
      </c>
      <c r="F11" s="6">
        <f>+RA_Life!L11</f>
        <v>133.45423099999999</v>
      </c>
      <c r="G11" s="6">
        <f>+RA_Life!B11</f>
        <v>3.7000120000000001</v>
      </c>
      <c r="H11" s="6">
        <f>+RA_Life!I11</f>
        <v>0</v>
      </c>
      <c r="I11" s="6">
        <f>+RA_Life!G11</f>
        <v>0</v>
      </c>
      <c r="J11" s="6">
        <f>+BS_Life!B11</f>
        <v>15</v>
      </c>
      <c r="K11" s="6">
        <f>+BS_Life!C11</f>
        <v>122</v>
      </c>
      <c r="L11" s="6">
        <f>+RA_Life!M11</f>
        <v>8.7178730000000009</v>
      </c>
      <c r="M11" s="6">
        <f>+RA_Life!H11</f>
        <v>-33.808317000000002</v>
      </c>
      <c r="N11" s="6">
        <f>+BS_Life!H11</f>
        <v>208.47562499999998</v>
      </c>
    </row>
    <row r="12" spans="1:14" ht="18" customHeight="1" x14ac:dyDescent="0.2">
      <c r="A12" s="13" t="s">
        <v>64</v>
      </c>
      <c r="B12" s="6">
        <f>3761229424/1000000</f>
        <v>3761.2294240000001</v>
      </c>
      <c r="C12" s="6">
        <f>6325181535/1000000</f>
        <v>6325.1815349999997</v>
      </c>
      <c r="D12" s="6">
        <f>33971554/1000000</f>
        <v>33.971553999999998</v>
      </c>
      <c r="E12" s="6">
        <f t="shared" si="0"/>
        <v>10120.382513</v>
      </c>
      <c r="F12" s="6">
        <f>+RA_Life!L12</f>
        <v>10103.073525</v>
      </c>
      <c r="G12" s="6">
        <f>+RA_Life!B12</f>
        <v>5807.9093919999996</v>
      </c>
      <c r="H12" s="6">
        <f>+RA_Life!I12</f>
        <v>143.27441200000001</v>
      </c>
      <c r="I12" s="6">
        <f>+RA_Life!G12</f>
        <v>217.99968899999999</v>
      </c>
      <c r="J12" s="6">
        <f>+BS_Life!B12</f>
        <v>7637.1166409999996</v>
      </c>
      <c r="K12" s="6">
        <f>+BS_Life!C12</f>
        <v>11277.185426</v>
      </c>
      <c r="L12" s="6">
        <f>+RA_Life!M12</f>
        <v>1485.7874200000001</v>
      </c>
      <c r="M12" s="6">
        <f>+RA_Life!H12</f>
        <v>33447.462417000002</v>
      </c>
      <c r="N12" s="6">
        <f>+BS_Life!H12</f>
        <v>42397.007256000004</v>
      </c>
    </row>
    <row r="13" spans="1:14" ht="18" customHeight="1" x14ac:dyDescent="0.2">
      <c r="A13" s="13" t="s">
        <v>65</v>
      </c>
      <c r="B13" s="6">
        <f>89429330/1000000</f>
        <v>89.429329999999993</v>
      </c>
      <c r="C13" s="6">
        <f>158931099/1000000</f>
        <v>158.93109899999999</v>
      </c>
      <c r="D13" s="6">
        <f>2145574/1000000</f>
        <v>2.1455739999999999</v>
      </c>
      <c r="E13" s="6">
        <f t="shared" si="0"/>
        <v>250.50600299999999</v>
      </c>
      <c r="F13" s="6">
        <f>+RA_Life!L13</f>
        <v>249.904808</v>
      </c>
      <c r="G13" s="6">
        <f>+RA_Life!B13</f>
        <v>419.72539399999999</v>
      </c>
      <c r="H13" s="6">
        <f>+RA_Life!I13</f>
        <v>0</v>
      </c>
      <c r="I13" s="6">
        <f>+RA_Life!G13</f>
        <v>0</v>
      </c>
      <c r="J13" s="6">
        <f>+BS_Life!B13</f>
        <v>179.96938599999999</v>
      </c>
      <c r="K13" s="6">
        <f>+BS_Life!C13</f>
        <v>41.210306000000003</v>
      </c>
      <c r="L13" s="6">
        <f>+RA_Life!M13</f>
        <v>20.249856999999999</v>
      </c>
      <c r="M13" s="6">
        <f>+RA_Life!H13</f>
        <v>913.72823300000005</v>
      </c>
      <c r="N13" s="6">
        <f>+BS_Life!H13</f>
        <v>2143.8112590000001</v>
      </c>
    </row>
    <row r="14" spans="1:14" ht="18" customHeight="1" x14ac:dyDescent="0.2">
      <c r="A14" s="13" t="s">
        <v>66</v>
      </c>
      <c r="B14" s="6">
        <f>59141015/1000000</f>
        <v>59.141015000000003</v>
      </c>
      <c r="C14" s="6">
        <f>16921467/1000000</f>
        <v>16.921467</v>
      </c>
      <c r="D14" s="6">
        <f>1431030252/1000000</f>
        <v>1431.030252</v>
      </c>
      <c r="E14" s="6">
        <f t="shared" si="0"/>
        <v>1507.0927340000001</v>
      </c>
      <c r="F14" s="6">
        <f>+RA_Life!L14</f>
        <v>1477.6584170000001</v>
      </c>
      <c r="G14" s="6">
        <f>+RA_Life!B14</f>
        <v>623.64720399999999</v>
      </c>
      <c r="H14" s="6">
        <f>+RA_Life!I14</f>
        <v>3.9862329999999999</v>
      </c>
      <c r="I14" s="6">
        <f>+RA_Life!G14</f>
        <v>0</v>
      </c>
      <c r="J14" s="6">
        <f>+BS_Life!B14</f>
        <v>351.7</v>
      </c>
      <c r="K14" s="6">
        <f>+BS_Life!C14</f>
        <v>638.41882799999996</v>
      </c>
      <c r="L14" s="6">
        <f>+RA_Life!M14</f>
        <v>42.874786999999998</v>
      </c>
      <c r="M14" s="6">
        <f>+RA_Life!H14</f>
        <v>1038.65741</v>
      </c>
      <c r="N14" s="6">
        <f>+BS_Life!H14</f>
        <v>1339.6028810000003</v>
      </c>
    </row>
    <row r="15" spans="1:14" ht="18" customHeight="1" x14ac:dyDescent="0.2">
      <c r="A15" s="13" t="s">
        <v>76</v>
      </c>
      <c r="B15" s="6">
        <f>421673924/1000000</f>
        <v>421.673924</v>
      </c>
      <c r="C15" s="6">
        <f>704366835/1000000</f>
        <v>704.36683500000004</v>
      </c>
      <c r="D15" s="6">
        <f>6550276/1000000</f>
        <v>6.5502760000000002</v>
      </c>
      <c r="E15" s="6">
        <f t="shared" si="0"/>
        <v>1132.5910349999999</v>
      </c>
      <c r="F15" s="6">
        <f>+RA_Life!L15</f>
        <v>1130.8413310000001</v>
      </c>
      <c r="G15" s="6">
        <f>+RA_Life!B15</f>
        <v>781.62305800000001</v>
      </c>
      <c r="H15" s="6">
        <f>+RA_Life!I15</f>
        <v>0</v>
      </c>
      <c r="I15" s="6">
        <f>+RA_Life!G15</f>
        <v>0</v>
      </c>
      <c r="J15" s="6">
        <f>+BS_Life!B15</f>
        <v>1252.1987509999999</v>
      </c>
      <c r="K15" s="6">
        <f>+BS_Life!C15</f>
        <v>191.9</v>
      </c>
      <c r="L15" s="6">
        <f>+RA_Life!M15</f>
        <v>198.90884299999999</v>
      </c>
      <c r="M15" s="6">
        <f>+RA_Life!H15</f>
        <v>2826.3009189999998</v>
      </c>
      <c r="N15" s="6">
        <f>+BS_Life!H15</f>
        <v>3187.4088360000001</v>
      </c>
    </row>
    <row r="16" spans="1:14" ht="18" customHeight="1" x14ac:dyDescent="0.2">
      <c r="A16" s="13" t="s">
        <v>67</v>
      </c>
      <c r="B16" s="6">
        <f>72255001/1000000</f>
        <v>72.255000999999993</v>
      </c>
      <c r="C16" s="6">
        <f>35200891/1000000</f>
        <v>35.200890999999999</v>
      </c>
      <c r="D16" s="6">
        <v>0</v>
      </c>
      <c r="E16" s="6">
        <f t="shared" si="0"/>
        <v>107.45589199999999</v>
      </c>
      <c r="F16" s="6">
        <f>+RA_Life!L16</f>
        <v>107.336242</v>
      </c>
      <c r="G16" s="6">
        <f>+RA_Life!B16</f>
        <v>3.0070459999999999</v>
      </c>
      <c r="H16" s="6">
        <f>+RA_Life!I16</f>
        <v>0</v>
      </c>
      <c r="I16" s="6">
        <f>+RA_Life!G16</f>
        <v>0</v>
      </c>
      <c r="J16" s="6">
        <f>+BS_Life!B16</f>
        <v>115</v>
      </c>
      <c r="K16" s="6">
        <f>+BS_Life!C16</f>
        <v>40</v>
      </c>
      <c r="L16" s="6">
        <f>+RA_Life!M16</f>
        <v>16.09515</v>
      </c>
      <c r="M16" s="6">
        <f>+RA_Life!H16</f>
        <v>-48.109465999999998</v>
      </c>
      <c r="N16" s="6">
        <f>+BS_Life!H16</f>
        <v>225.48730899999998</v>
      </c>
    </row>
    <row r="17" spans="1:14" ht="18" customHeight="1" x14ac:dyDescent="0.2">
      <c r="A17" s="13" t="s">
        <v>68</v>
      </c>
      <c r="B17" s="6">
        <f>68286560/1000000</f>
        <v>68.286559999999994</v>
      </c>
      <c r="C17" s="6">
        <f>1089060/1000000</f>
        <v>1.0890599999999999</v>
      </c>
      <c r="D17" s="6">
        <f>3496974/1000000</f>
        <v>3.4969739999999998</v>
      </c>
      <c r="E17" s="6">
        <f t="shared" si="0"/>
        <v>72.872593999999992</v>
      </c>
      <c r="F17" s="6">
        <f>+RA_Life!L17</f>
        <v>72.527970999999994</v>
      </c>
      <c r="G17" s="6">
        <f>+RA_Life!B17</f>
        <v>0.8</v>
      </c>
      <c r="H17" s="6">
        <f>+RA_Life!I17</f>
        <v>0</v>
      </c>
      <c r="I17" s="6">
        <f>+RA_Life!G17</f>
        <v>0</v>
      </c>
      <c r="J17" s="6">
        <f>+BS_Life!B17</f>
        <v>45</v>
      </c>
      <c r="K17" s="6">
        <f>+BS_Life!C17</f>
        <v>0</v>
      </c>
      <c r="L17" s="6">
        <f>+RA_Life!M17</f>
        <v>10.96894</v>
      </c>
      <c r="M17" s="6">
        <f>+RA_Life!H17</f>
        <v>-13.649827999999999</v>
      </c>
      <c r="N17" s="6">
        <f>+BS_Life!H17</f>
        <v>604.6177899999999</v>
      </c>
    </row>
    <row r="18" spans="1:14" ht="18" customHeight="1" x14ac:dyDescent="0.2">
      <c r="A18" s="13" t="s">
        <v>69</v>
      </c>
      <c r="B18" s="6">
        <f>1017614592/1000000</f>
        <v>1017.614592</v>
      </c>
      <c r="C18" s="6">
        <f>3237908312/1000000</f>
        <v>3237.908312</v>
      </c>
      <c r="D18" s="6">
        <f>30528576/1000000</f>
        <v>30.528576000000001</v>
      </c>
      <c r="E18" s="6">
        <f t="shared" si="0"/>
        <v>4286.0514800000001</v>
      </c>
      <c r="F18" s="6">
        <f>+RA_Life!L18</f>
        <v>4274.2321629999997</v>
      </c>
      <c r="G18" s="6">
        <f>+RA_Life!B18</f>
        <v>2717.297423</v>
      </c>
      <c r="H18" s="6">
        <f>+RA_Life!I18</f>
        <v>113.054919</v>
      </c>
      <c r="I18" s="6">
        <f>+RA_Life!G18</f>
        <v>79.814074000000005</v>
      </c>
      <c r="J18" s="6">
        <f>+BS_Life!B18</f>
        <v>6308.2743810000002</v>
      </c>
      <c r="K18" s="6">
        <f>+BS_Life!C18</f>
        <v>4730.0775000000003</v>
      </c>
      <c r="L18" s="6">
        <f>+RA_Life!M18</f>
        <v>954.35001999999997</v>
      </c>
      <c r="M18" s="6">
        <f>+RA_Life!H18</f>
        <v>15634.617054</v>
      </c>
      <c r="N18" s="6">
        <f>+BS_Life!H18</f>
        <v>16979.775530000003</v>
      </c>
    </row>
    <row r="19" spans="1:14" ht="18" customHeight="1" x14ac:dyDescent="0.2">
      <c r="A19" s="13" t="s">
        <v>84</v>
      </c>
      <c r="B19" s="6">
        <f>73250898/1000000</f>
        <v>73.250898000000007</v>
      </c>
      <c r="C19" s="6">
        <f>28564836/1000000</f>
        <v>28.564836</v>
      </c>
      <c r="D19" s="6">
        <f>440733/1000000</f>
        <v>0.44073299999999999</v>
      </c>
      <c r="E19" s="6">
        <f t="shared" si="0"/>
        <v>102.256467</v>
      </c>
      <c r="F19" s="6">
        <f>+RA_Life!L19</f>
        <v>101.88932</v>
      </c>
      <c r="G19" s="6">
        <f>+RA_Life!B19</f>
        <v>1.2897350000000001</v>
      </c>
      <c r="H19" s="6">
        <f>+RA_Life!I19</f>
        <v>0</v>
      </c>
      <c r="I19" s="6">
        <f>+RA_Life!G19</f>
        <v>0</v>
      </c>
      <c r="J19" s="6">
        <f>+BS_Life!B19</f>
        <v>15</v>
      </c>
      <c r="K19" s="6">
        <f>+BS_Life!C19</f>
        <v>142.50399999999999</v>
      </c>
      <c r="L19" s="6">
        <f>+RA_Life!M19</f>
        <v>11.792144</v>
      </c>
      <c r="M19" s="6">
        <f>+RA_Life!H19</f>
        <v>2.803277</v>
      </c>
      <c r="N19" s="6">
        <f>+BS_Life!H19</f>
        <v>208.19993599999998</v>
      </c>
    </row>
    <row r="20" spans="1:14" ht="18" customHeight="1" x14ac:dyDescent="0.2">
      <c r="A20" s="13" t="s">
        <v>70</v>
      </c>
      <c r="B20" s="6">
        <f>2174673145/1000000</f>
        <v>2174.6731450000002</v>
      </c>
      <c r="C20" s="6">
        <f>6450383592/1000000</f>
        <v>6450.3835920000001</v>
      </c>
      <c r="D20" s="6">
        <f>86065427/1000000</f>
        <v>86.065427</v>
      </c>
      <c r="E20" s="6">
        <f>SUM(B20:D20)</f>
        <v>8711.1221640000003</v>
      </c>
      <c r="F20" s="6">
        <f>+RA_Life!L20</f>
        <v>8692.1458889999994</v>
      </c>
      <c r="G20" s="6">
        <f>+RA_Life!B20</f>
        <v>7542.820815</v>
      </c>
      <c r="H20" s="6">
        <f>+RA_Life!I20</f>
        <v>307.96028999999999</v>
      </c>
      <c r="I20" s="6">
        <f>+RA_Life!G20</f>
        <v>287.20372800000001</v>
      </c>
      <c r="J20" s="6">
        <f>+BS_Life!B20</f>
        <v>14695.688238000001</v>
      </c>
      <c r="K20" s="6">
        <f>+BS_Life!C20</f>
        <v>15107.951827000001</v>
      </c>
      <c r="L20" s="6">
        <f>+RA_Life!M20</f>
        <v>2805.1010040000001</v>
      </c>
      <c r="M20" s="6">
        <f>+RA_Life!H20</f>
        <v>32907.692596000001</v>
      </c>
      <c r="N20" s="6">
        <f>+BS_Life!H20</f>
        <v>41084.540264000003</v>
      </c>
    </row>
    <row r="21" spans="1:14" ht="18" customHeight="1" x14ac:dyDescent="0.2">
      <c r="A21" s="13" t="s">
        <v>71</v>
      </c>
      <c r="B21" s="6">
        <f>30587924/1000000</f>
        <v>30.587924000000001</v>
      </c>
      <c r="C21" s="6">
        <f>10194811/1000000</f>
        <v>10.194811</v>
      </c>
      <c r="D21" s="6">
        <f>1017500/1000000</f>
        <v>1.0175000000000001</v>
      </c>
      <c r="E21" s="6">
        <f t="shared" si="0"/>
        <v>41.800235000000001</v>
      </c>
      <c r="F21" s="6">
        <f>+RA_Life!L21</f>
        <v>40.986424999999997</v>
      </c>
      <c r="G21" s="6">
        <f>+RA_Life!B21</f>
        <v>3.4305690000000002</v>
      </c>
      <c r="H21" s="6">
        <f>+RA_Life!I21</f>
        <v>0</v>
      </c>
      <c r="I21" s="6">
        <f>+RA_Life!G21</f>
        <v>0</v>
      </c>
      <c r="J21" s="6">
        <f>+BS_Life!B21</f>
        <v>16</v>
      </c>
      <c r="K21" s="6">
        <f>+BS_Life!C21</f>
        <v>140.00391999999999</v>
      </c>
      <c r="L21" s="6">
        <f>+RA_Life!M21</f>
        <v>11.916556</v>
      </c>
      <c r="M21" s="6">
        <f>+RA_Life!H21</f>
        <v>-36.431784999999998</v>
      </c>
      <c r="N21" s="6">
        <f>+BS_Life!H21</f>
        <v>181.34635300000002</v>
      </c>
    </row>
    <row r="22" spans="1:14" ht="18" customHeight="1" x14ac:dyDescent="0.2">
      <c r="A22" s="13" t="s">
        <v>77</v>
      </c>
      <c r="B22" s="6">
        <f>35827167/1000000</f>
        <v>35.827167000000003</v>
      </c>
      <c r="C22" s="6">
        <f>15152496/1000000</f>
        <v>15.152495999999999</v>
      </c>
      <c r="D22" s="6">
        <f>70877543/1000000</f>
        <v>70.877543000000003</v>
      </c>
      <c r="E22" s="6">
        <f t="shared" si="0"/>
        <v>121.85720600000001</v>
      </c>
      <c r="F22" s="6">
        <f>+RA_Life!L22</f>
        <v>96.923152999999999</v>
      </c>
      <c r="G22" s="6">
        <f>+RA_Life!B22</f>
        <v>17.425442</v>
      </c>
      <c r="H22" s="6">
        <f>+RA_Life!I22</f>
        <v>0</v>
      </c>
      <c r="I22" s="6">
        <f>+RA_Life!G22</f>
        <v>0</v>
      </c>
      <c r="J22" s="6">
        <f>+BS_Life!B22</f>
        <v>15</v>
      </c>
      <c r="K22" s="6">
        <f>+BS_Life!C22</f>
        <v>85</v>
      </c>
      <c r="L22" s="6">
        <f>+RA_Life!M22</f>
        <v>4.0331580000000002</v>
      </c>
      <c r="M22" s="6">
        <f>+RA_Life!H22</f>
        <v>-57.031232000000003</v>
      </c>
      <c r="N22" s="6">
        <f>+BS_Life!H22</f>
        <v>169.24634800000001</v>
      </c>
    </row>
    <row r="23" spans="1:14" ht="18" customHeight="1" x14ac:dyDescent="0.2">
      <c r="A23" s="13" t="s">
        <v>230</v>
      </c>
      <c r="B23" s="6"/>
      <c r="C23" s="6"/>
      <c r="D23" s="6"/>
      <c r="E23" s="6">
        <f t="shared" si="0"/>
        <v>0</v>
      </c>
      <c r="F23" s="6">
        <f>+RA_Life!L23</f>
        <v>0</v>
      </c>
      <c r="G23" s="6">
        <f>+RA_Life!B23</f>
        <v>0</v>
      </c>
      <c r="H23" s="6">
        <f>+RA_Life!I23</f>
        <v>0</v>
      </c>
      <c r="I23" s="6">
        <f>+RA_Life!G23</f>
        <v>0</v>
      </c>
      <c r="J23" s="6">
        <f>+BS_Life!B23</f>
        <v>0</v>
      </c>
      <c r="K23" s="6">
        <f>+BS_Life!C23</f>
        <v>0</v>
      </c>
      <c r="L23" s="6">
        <f>+RA_Life!M23</f>
        <v>0</v>
      </c>
      <c r="M23" s="6">
        <f>+RA_Life!H23</f>
        <v>0</v>
      </c>
      <c r="N23" s="6">
        <f>+BS_Life!H23</f>
        <v>0</v>
      </c>
    </row>
    <row r="24" spans="1:14" ht="18" customHeight="1" x14ac:dyDescent="0.2">
      <c r="A24" s="13" t="s">
        <v>72</v>
      </c>
      <c r="B24" s="6">
        <f>1150025917/1000000</f>
        <v>1150.0259169999999</v>
      </c>
      <c r="C24" s="6">
        <f>2301179493/1000000</f>
        <v>2301.1794930000001</v>
      </c>
      <c r="D24" s="6">
        <f>20044435/1000000</f>
        <v>20.044435</v>
      </c>
      <c r="E24" s="6">
        <f t="shared" si="0"/>
        <v>3471.2498449999998</v>
      </c>
      <c r="F24" s="6">
        <f>+RA_Life!L24</f>
        <v>3456.9055589999998</v>
      </c>
      <c r="G24" s="6">
        <f>+RA_Life!B24</f>
        <v>1839.2285979999999</v>
      </c>
      <c r="H24" s="6">
        <f>+RA_Life!I24</f>
        <v>13.5</v>
      </c>
      <c r="I24" s="6">
        <f>+RA_Life!G24</f>
        <v>76.300574999999995</v>
      </c>
      <c r="J24" s="6">
        <f>+BS_Life!B24</f>
        <v>1486.7232919999999</v>
      </c>
      <c r="K24" s="6">
        <f>+BS_Life!C24</f>
        <v>2476.5032630000001</v>
      </c>
      <c r="L24" s="6">
        <f>+RA_Life!M24</f>
        <v>279.70741099999998</v>
      </c>
      <c r="M24" s="6">
        <f>+RA_Life!H24</f>
        <v>8466.5939920000001</v>
      </c>
      <c r="N24" s="6">
        <f>+BS_Life!H24</f>
        <v>9395.1087259999986</v>
      </c>
    </row>
    <row r="25" spans="1:14" ht="18" customHeight="1" x14ac:dyDescent="0.2">
      <c r="A25" s="13" t="s">
        <v>85</v>
      </c>
      <c r="B25" s="6">
        <f>2754899892/1000000</f>
        <v>2754.8998919999999</v>
      </c>
      <c r="C25" s="6">
        <f>2255498382/1000000</f>
        <v>2255.4983820000002</v>
      </c>
      <c r="D25" s="6">
        <f>1224453/1000000</f>
        <v>1.224453</v>
      </c>
      <c r="E25" s="6">
        <f t="shared" si="0"/>
        <v>5011.6227269999999</v>
      </c>
      <c r="F25" s="6">
        <f>+RA_Life!L25</f>
        <v>5002.7548280000001</v>
      </c>
      <c r="G25" s="6">
        <f>+RA_Life!B25</f>
        <v>6218.4620320000004</v>
      </c>
      <c r="H25" s="6">
        <f>+RA_Life!I25</f>
        <v>160.27427</v>
      </c>
      <c r="I25" s="6">
        <f>+RA_Life!G25</f>
        <v>241.71343200000001</v>
      </c>
      <c r="J25" s="6">
        <f>+BS_Life!B25</f>
        <v>16229.807978000001</v>
      </c>
      <c r="K25" s="6">
        <f>+BS_Life!C25</f>
        <v>4581.4808169999997</v>
      </c>
      <c r="L25" s="6">
        <f>+RA_Life!M25</f>
        <v>1904.4584199999999</v>
      </c>
      <c r="M25" s="6">
        <f>+RA_Life!H25</f>
        <v>22866.74379</v>
      </c>
      <c r="N25" s="6">
        <f>+BS_Life!H25</f>
        <v>25330.844960999999</v>
      </c>
    </row>
    <row r="26" spans="1:14" ht="18" customHeight="1" x14ac:dyDescent="0.2">
      <c r="A26" s="13" t="s">
        <v>86</v>
      </c>
      <c r="B26" s="6">
        <f>421327768/1000000</f>
        <v>421.32776799999999</v>
      </c>
      <c r="C26" s="6">
        <f>646393261/1000000</f>
        <v>646.39326100000005</v>
      </c>
      <c r="D26" s="6">
        <f>17599228/1000000</f>
        <v>17.599228</v>
      </c>
      <c r="E26" s="6">
        <f t="shared" si="0"/>
        <v>1085.3202570000001</v>
      </c>
      <c r="F26" s="6">
        <f>+RA_Life!L26</f>
        <v>1084.566176</v>
      </c>
      <c r="G26" s="6">
        <f>+RA_Life!B26</f>
        <v>1928.2276810000001</v>
      </c>
      <c r="H26" s="6">
        <f>+RA_Life!I26</f>
        <v>0</v>
      </c>
      <c r="I26" s="6">
        <f>+RA_Life!G26</f>
        <v>64.8</v>
      </c>
      <c r="J26" s="6">
        <f>+BS_Life!B26</f>
        <v>671.33893899999998</v>
      </c>
      <c r="K26" s="6">
        <f>+BS_Life!C26</f>
        <v>86</v>
      </c>
      <c r="L26" s="6">
        <f>+RA_Life!M26</f>
        <v>76.795527000000007</v>
      </c>
      <c r="M26" s="6">
        <f>+RA_Life!H26</f>
        <v>1288.257466</v>
      </c>
      <c r="N26" s="6">
        <f>+BS_Life!H26</f>
        <v>2389.4040610000002</v>
      </c>
    </row>
    <row r="27" spans="1:14" ht="18" customHeight="1" x14ac:dyDescent="0.2">
      <c r="A27" s="13" t="s">
        <v>87</v>
      </c>
      <c r="B27" s="6">
        <f>649898307/1000000</f>
        <v>649.89830700000005</v>
      </c>
      <c r="C27" s="6">
        <f>823895887/1000000</f>
        <v>823.89588700000002</v>
      </c>
      <c r="D27" s="6">
        <f>845763115/1000000</f>
        <v>845.76311499999997</v>
      </c>
      <c r="E27" s="6">
        <f t="shared" si="0"/>
        <v>2319.5573089999998</v>
      </c>
      <c r="F27" s="6">
        <f>+RA_Life!L27</f>
        <v>2290.976709</v>
      </c>
      <c r="G27" s="6">
        <f>+RA_Life!B27</f>
        <v>1321.7296120000001</v>
      </c>
      <c r="H27" s="6">
        <f>+RA_Life!I27</f>
        <v>18.5</v>
      </c>
      <c r="I27" s="6">
        <f>+RA_Life!G27</f>
        <v>25.930800000000001</v>
      </c>
      <c r="J27" s="6">
        <f>+BS_Life!B27</f>
        <v>2758.591449</v>
      </c>
      <c r="K27" s="6">
        <f>+BS_Life!C27</f>
        <v>1664.736678</v>
      </c>
      <c r="L27" s="6">
        <f>+RA_Life!M27</f>
        <v>392.20431600000001</v>
      </c>
      <c r="M27" s="6">
        <f>+RA_Life!H27</f>
        <v>5216.4510769999997</v>
      </c>
      <c r="N27" s="6">
        <f>+BS_Life!H27</f>
        <v>5416.9396900000002</v>
      </c>
    </row>
    <row r="28" spans="1:14" ht="18" customHeight="1" x14ac:dyDescent="0.2">
      <c r="A28" s="13" t="s">
        <v>78</v>
      </c>
      <c r="B28" s="6">
        <f>846470046/1000000</f>
        <v>846.47004600000002</v>
      </c>
      <c r="C28" s="6">
        <f>1196500917/1000000</f>
        <v>1196.5009170000001</v>
      </c>
      <c r="D28" s="6">
        <f>5243774/1000000</f>
        <v>5.2437740000000002</v>
      </c>
      <c r="E28" s="6">
        <f t="shared" si="0"/>
        <v>2048.2147370000002</v>
      </c>
      <c r="F28" s="6">
        <f>+RA_Life!L28</f>
        <v>2045.8550720000001</v>
      </c>
      <c r="G28" s="6">
        <f>+RA_Life!B28</f>
        <v>1058.8692639999999</v>
      </c>
      <c r="H28" s="6">
        <f>+RA_Life!I28</f>
        <v>13.23296</v>
      </c>
      <c r="I28" s="6">
        <f>+RA_Life!G28</f>
        <v>27.739180999999999</v>
      </c>
      <c r="J28" s="6">
        <f>+BS_Life!B28</f>
        <v>1396.4188839999999</v>
      </c>
      <c r="K28" s="6">
        <f>+BS_Life!C28</f>
        <v>706.170388</v>
      </c>
      <c r="L28" s="6">
        <f>+RA_Life!M28</f>
        <v>244.534516</v>
      </c>
      <c r="M28" s="6">
        <f>+RA_Life!H28</f>
        <v>4267.5230410000004</v>
      </c>
      <c r="N28" s="6">
        <f>+BS_Life!H28</f>
        <v>5195.1672030000009</v>
      </c>
    </row>
    <row r="29" spans="1:14" ht="18" customHeight="1" x14ac:dyDescent="0.2">
      <c r="A29" s="13" t="s">
        <v>73</v>
      </c>
      <c r="B29" s="6">
        <f>604652269/1000000</f>
        <v>604.65226900000005</v>
      </c>
      <c r="C29" s="6">
        <f>1201032986/1000000</f>
        <v>1201.0329859999999</v>
      </c>
      <c r="D29" s="6">
        <f>15263695/1000000</f>
        <v>15.263695</v>
      </c>
      <c r="E29" s="6">
        <f t="shared" si="0"/>
        <v>1820.94895</v>
      </c>
      <c r="F29" s="6">
        <f>+RA_Life!L29</f>
        <v>1815.6226999999999</v>
      </c>
      <c r="G29" s="6">
        <f>+RA_Life!B29</f>
        <v>1792.856344</v>
      </c>
      <c r="H29" s="6">
        <f>+RA_Life!I29</f>
        <v>133.295647</v>
      </c>
      <c r="I29" s="6">
        <f>+RA_Life!G29</f>
        <v>152.35921300000001</v>
      </c>
      <c r="J29" s="6">
        <f>+BS_Life!B29</f>
        <v>3716.5047079999999</v>
      </c>
      <c r="K29" s="6">
        <f>+BS_Life!C29</f>
        <v>3600.8552759999998</v>
      </c>
      <c r="L29" s="6">
        <f>+RA_Life!M29</f>
        <v>943.84560499999998</v>
      </c>
      <c r="M29" s="6">
        <f>+RA_Life!H29</f>
        <v>8517.615065</v>
      </c>
      <c r="N29" s="6">
        <f>+BS_Life!H29</f>
        <v>11029.832488</v>
      </c>
    </row>
    <row r="30" spans="1:14" ht="18" customHeight="1" x14ac:dyDescent="0.2">
      <c r="A30" s="13" t="s">
        <v>74</v>
      </c>
      <c r="B30" s="6">
        <f>536835393/1000000</f>
        <v>536.83539299999995</v>
      </c>
      <c r="C30" s="6">
        <f>657850961/1000000</f>
        <v>657.85096099999998</v>
      </c>
      <c r="D30" s="6">
        <f>1570740/1000000</f>
        <v>1.57074</v>
      </c>
      <c r="E30" s="6">
        <f t="shared" si="0"/>
        <v>1196.2570939999998</v>
      </c>
      <c r="F30" s="6">
        <f>+RA_Life!L30</f>
        <v>1188.61419</v>
      </c>
      <c r="G30" s="6">
        <f>+RA_Life!B30</f>
        <v>558.03732500000001</v>
      </c>
      <c r="H30" s="6">
        <f>+RA_Life!I30</f>
        <v>0</v>
      </c>
      <c r="I30" s="6">
        <f>+RA_Life!G30</f>
        <v>10.5</v>
      </c>
      <c r="J30" s="6">
        <f>+BS_Life!B30</f>
        <v>544.96315500000003</v>
      </c>
      <c r="K30" s="6">
        <f>+BS_Life!C30</f>
        <v>211.26499999999999</v>
      </c>
      <c r="L30" s="6">
        <f>+RA_Life!M30</f>
        <v>90.908851999999996</v>
      </c>
      <c r="M30" s="6">
        <f>+RA_Life!H30</f>
        <v>1729.0835380000001</v>
      </c>
      <c r="N30" s="6">
        <f>+BS_Life!H30</f>
        <v>1918.7740819999999</v>
      </c>
    </row>
    <row r="31" spans="1:14" ht="18" customHeight="1" x14ac:dyDescent="0.2">
      <c r="A31" s="13" t="s">
        <v>88</v>
      </c>
      <c r="B31" s="6">
        <f>406736756/1000000</f>
        <v>406.73675600000001</v>
      </c>
      <c r="C31" s="6">
        <f>661933619/1000000</f>
        <v>661.93361900000002</v>
      </c>
      <c r="D31" s="6">
        <f>15988851/1000000</f>
        <v>15.988851</v>
      </c>
      <c r="E31" s="6">
        <f t="shared" si="0"/>
        <v>1084.6592260000002</v>
      </c>
      <c r="F31" s="6">
        <f>+RA_Life!L31</f>
        <v>1081.2436580000001</v>
      </c>
      <c r="G31" s="6">
        <f>+RA_Life!B31</f>
        <v>746.71378300000003</v>
      </c>
      <c r="H31" s="6">
        <f>+RA_Life!I31</f>
        <v>0</v>
      </c>
      <c r="I31" s="6">
        <f>+RA_Life!G31</f>
        <v>0</v>
      </c>
      <c r="J31" s="6">
        <f>+BS_Life!B31</f>
        <v>1095.174454</v>
      </c>
      <c r="K31" s="6">
        <f>+BS_Life!C31</f>
        <v>359.32250499999998</v>
      </c>
      <c r="L31" s="6">
        <f>+RA_Life!M31</f>
        <v>184.01347899999999</v>
      </c>
      <c r="M31" s="6">
        <f>+RA_Life!H31</f>
        <v>3035.9586920000002</v>
      </c>
      <c r="N31" s="6">
        <f>+BS_Life!H31</f>
        <v>3530.5146279999999</v>
      </c>
    </row>
    <row r="32" spans="1:14" ht="18" customHeight="1" x14ac:dyDescent="0.2">
      <c r="A32" s="13" t="s">
        <v>89</v>
      </c>
      <c r="B32" s="6">
        <f>308335029/1000000</f>
        <v>308.33502900000002</v>
      </c>
      <c r="C32" s="6">
        <f>60306649/1000000</f>
        <v>60.306649</v>
      </c>
      <c r="D32" s="6">
        <f>3882907/1000000</f>
        <v>3.8829069999999999</v>
      </c>
      <c r="E32" s="6">
        <f t="shared" si="0"/>
        <v>372.524585</v>
      </c>
      <c r="F32" s="6">
        <f>+RA_Life!L32</f>
        <v>405.72057799999999</v>
      </c>
      <c r="G32" s="6">
        <f>+RA_Life!B32</f>
        <v>34.570433999999999</v>
      </c>
      <c r="H32" s="6">
        <f>+RA_Life!I32</f>
        <v>0</v>
      </c>
      <c r="I32" s="6">
        <f>+RA_Life!G32</f>
        <v>0</v>
      </c>
      <c r="J32" s="6">
        <f>+BS_Life!B32</f>
        <v>116.74194900000001</v>
      </c>
      <c r="K32" s="6">
        <f>+BS_Life!C32</f>
        <v>221.26</v>
      </c>
      <c r="L32" s="6">
        <f>+RA_Life!M32</f>
        <v>38.819498000000003</v>
      </c>
      <c r="M32" s="6">
        <f>+RA_Life!H32</f>
        <v>253.07393400000001</v>
      </c>
      <c r="N32" s="6">
        <f>+BS_Life!H32</f>
        <v>568.87149299999999</v>
      </c>
    </row>
    <row r="33" spans="1:14" ht="18" customHeight="1" x14ac:dyDescent="0.2">
      <c r="A33" s="13" t="s">
        <v>75</v>
      </c>
      <c r="B33" s="6">
        <f>24506803/1000000</f>
        <v>24.506803000000001</v>
      </c>
      <c r="C33" s="6">
        <f>6786781/1000000</f>
        <v>6.7867810000000004</v>
      </c>
      <c r="D33" s="6">
        <f>1573917/1000000</f>
        <v>1.573917</v>
      </c>
      <c r="E33" s="6">
        <f t="shared" si="0"/>
        <v>32.867501000000004</v>
      </c>
      <c r="F33" s="6">
        <f>+RA_Life!L33</f>
        <v>32.770640999999998</v>
      </c>
      <c r="G33" s="6">
        <f>+RA_Life!B33</f>
        <v>1.0689580000000001</v>
      </c>
      <c r="H33" s="6">
        <f>+RA_Life!I33</f>
        <v>5.7535000000000003E-2</v>
      </c>
      <c r="I33" s="6">
        <f>+RA_Life!G33</f>
        <v>0</v>
      </c>
      <c r="J33" s="6">
        <f>+BS_Life!B33</f>
        <v>15</v>
      </c>
      <c r="K33" s="6">
        <f>+BS_Life!C33</f>
        <v>131.04</v>
      </c>
      <c r="L33" s="6">
        <f>+RA_Life!M33</f>
        <v>11.332124</v>
      </c>
      <c r="M33" s="6">
        <f>+RA_Life!H33</f>
        <v>-28.16675</v>
      </c>
      <c r="N33" s="6">
        <f>+BS_Life!H33</f>
        <v>178.72914700000001</v>
      </c>
    </row>
    <row r="34" spans="1:14" ht="18" customHeight="1" x14ac:dyDescent="0.2">
      <c r="A34" s="13" t="s">
        <v>90</v>
      </c>
      <c r="B34" s="6">
        <f>129188710/1000000</f>
        <v>129.18870999999999</v>
      </c>
      <c r="C34" s="6">
        <f>50093538/1000000</f>
        <v>50.093538000000002</v>
      </c>
      <c r="D34" s="6">
        <f>7349850/1000000</f>
        <v>7.34985</v>
      </c>
      <c r="E34" s="6">
        <f t="shared" si="0"/>
        <v>186.63209799999998</v>
      </c>
      <c r="F34" s="6">
        <f>+RA_Life!L34</f>
        <v>184.8338</v>
      </c>
      <c r="G34" s="6">
        <f>+RA_Life!B34</f>
        <v>3.9725820000000001</v>
      </c>
      <c r="H34" s="6">
        <f>+RA_Life!I34</f>
        <v>0</v>
      </c>
      <c r="I34" s="6">
        <f>+RA_Life!G34</f>
        <v>0</v>
      </c>
      <c r="J34" s="6">
        <f>+BS_Life!B34</f>
        <v>15</v>
      </c>
      <c r="K34" s="6">
        <f>+BS_Life!C34</f>
        <v>140</v>
      </c>
      <c r="L34" s="6">
        <f>+RA_Life!M34</f>
        <v>10.446598</v>
      </c>
      <c r="M34" s="6">
        <f>+RA_Life!H34</f>
        <v>-4.3185370000000001</v>
      </c>
      <c r="N34" s="6">
        <f>+BS_Life!H34</f>
        <v>253.75024600000003</v>
      </c>
    </row>
    <row r="35" spans="1:14" ht="18" customHeight="1" x14ac:dyDescent="0.2">
      <c r="A35" s="13" t="s">
        <v>91</v>
      </c>
      <c r="B35" s="6">
        <f>185894387/1000000</f>
        <v>185.89438699999999</v>
      </c>
      <c r="C35" s="6">
        <f>59775780/1000000</f>
        <v>59.775779999999997</v>
      </c>
      <c r="D35" s="6">
        <f>3490257/1000000</f>
        <v>3.4902570000000002</v>
      </c>
      <c r="E35" s="6">
        <f t="shared" si="0"/>
        <v>249.16042400000001</v>
      </c>
      <c r="F35" s="6">
        <f>+RA_Life!L35</f>
        <v>249.06387699999999</v>
      </c>
      <c r="G35" s="6">
        <f>+RA_Life!B35</f>
        <v>4.8077030000000001</v>
      </c>
      <c r="H35" s="6">
        <f>+RA_Life!I35</f>
        <v>0</v>
      </c>
      <c r="I35" s="6">
        <f>+RA_Life!G35</f>
        <v>0</v>
      </c>
      <c r="J35" s="6">
        <f>+BS_Life!B35</f>
        <v>15</v>
      </c>
      <c r="K35" s="6">
        <f>+BS_Life!C35</f>
        <v>128</v>
      </c>
      <c r="L35" s="6">
        <f>+RA_Life!M35</f>
        <v>10.073892000000001</v>
      </c>
      <c r="M35" s="6">
        <f>+RA_Life!H35</f>
        <v>-57.494937999999998</v>
      </c>
      <c r="N35" s="6">
        <f>+BS_Life!H35</f>
        <v>229.22900499999997</v>
      </c>
    </row>
    <row r="36" spans="1:14" ht="18" customHeight="1" x14ac:dyDescent="0.2">
      <c r="A36" s="10" t="s">
        <v>92</v>
      </c>
      <c r="B36" s="6">
        <f t="shared" ref="B36:G36" si="1">SUM(B5:B35)</f>
        <v>22990.905055999996</v>
      </c>
      <c r="C36" s="6">
        <f t="shared" si="1"/>
        <v>49251.208837999999</v>
      </c>
      <c r="D36" s="6">
        <f t="shared" si="1"/>
        <v>4297.9515279999996</v>
      </c>
      <c r="E36" s="6">
        <f t="shared" si="1"/>
        <v>76540.065422000014</v>
      </c>
      <c r="F36" s="6">
        <f t="shared" si="1"/>
        <v>76234.060955999972</v>
      </c>
      <c r="G36" s="6">
        <f t="shared" si="1"/>
        <v>53228.460312000003</v>
      </c>
      <c r="H36" s="6">
        <f t="shared" ref="H36:N36" si="2">SUM(H5:H35)</f>
        <v>3079.8015019999998</v>
      </c>
      <c r="I36" s="6">
        <f t="shared" si="2"/>
        <v>1431.860692</v>
      </c>
      <c r="J36" s="6">
        <f t="shared" si="2"/>
        <v>177737.63416000002</v>
      </c>
      <c r="K36" s="6">
        <f t="shared" si="2"/>
        <v>78707.64714500001</v>
      </c>
      <c r="L36" s="6">
        <f t="shared" si="2"/>
        <v>24393.337033999996</v>
      </c>
      <c r="M36" s="6">
        <f t="shared" si="2"/>
        <v>287449.18037400016</v>
      </c>
      <c r="N36" s="6">
        <f t="shared" si="2"/>
        <v>346521.36988299998</v>
      </c>
    </row>
    <row r="37" spans="1:14" ht="18" customHeight="1" x14ac:dyDescent="0.2">
      <c r="A37" s="13" t="s">
        <v>93</v>
      </c>
      <c r="B37" s="6">
        <f>955614610/1000000</f>
        <v>955.61460999999997</v>
      </c>
      <c r="C37" s="6">
        <f>3327574260/1000000</f>
        <v>3327.5742599999999</v>
      </c>
      <c r="D37" s="6">
        <f>+(214052+429953738)/1000000</f>
        <v>430.16779000000002</v>
      </c>
      <c r="E37" s="6">
        <f t="shared" si="0"/>
        <v>4713.3566600000004</v>
      </c>
      <c r="F37" s="6">
        <f>+RA_Life!L37</f>
        <v>4713.3566600000004</v>
      </c>
      <c r="G37" s="6">
        <f>+RA_Life!B37</f>
        <v>3203.0335500000001</v>
      </c>
      <c r="H37" s="6">
        <f>+RA_Life!I37</f>
        <v>148.01065</v>
      </c>
      <c r="I37" s="6">
        <f>+RA_Life!G37</f>
        <v>0</v>
      </c>
      <c r="J37" s="6">
        <f>+BS_Life!B37</f>
        <v>5116.7598289999996</v>
      </c>
      <c r="K37" s="6">
        <f>+BS_Life!C37</f>
        <v>8648.9935590000005</v>
      </c>
      <c r="L37" s="6">
        <f>+RA_Life!M37</f>
        <v>1361.8997569999999</v>
      </c>
      <c r="M37" s="6">
        <f>+RA_Life!H37</f>
        <v>18522.854067</v>
      </c>
      <c r="N37" s="6">
        <f>+BS_Life!H37</f>
        <v>20306.859314000001</v>
      </c>
    </row>
    <row r="38" spans="1:14" ht="18" customHeight="1" x14ac:dyDescent="0.2">
      <c r="A38" s="10" t="s">
        <v>94</v>
      </c>
      <c r="B38" s="6">
        <f>+B36+B37</f>
        <v>23946.519665999997</v>
      </c>
      <c r="C38" s="6">
        <f t="shared" ref="C38:M38" si="3">+C36+C37</f>
        <v>52578.783098</v>
      </c>
      <c r="D38" s="6">
        <f t="shared" si="3"/>
        <v>4728.119318</v>
      </c>
      <c r="E38" s="6">
        <f t="shared" si="3"/>
        <v>81253.422082000019</v>
      </c>
      <c r="F38" s="6">
        <f t="shared" si="3"/>
        <v>80947.417615999977</v>
      </c>
      <c r="G38" s="6">
        <f t="shared" si="3"/>
        <v>56431.493862000003</v>
      </c>
      <c r="H38" s="6">
        <f t="shared" si="3"/>
        <v>3227.812152</v>
      </c>
      <c r="I38" s="6">
        <f t="shared" si="3"/>
        <v>1431.860692</v>
      </c>
      <c r="J38" s="6">
        <f t="shared" si="3"/>
        <v>182854.393989</v>
      </c>
      <c r="K38" s="6">
        <f t="shared" si="3"/>
        <v>87356.640704000005</v>
      </c>
      <c r="L38" s="6">
        <f t="shared" si="3"/>
        <v>25755.236790999996</v>
      </c>
      <c r="M38" s="6">
        <f t="shared" si="3"/>
        <v>305972.03444100014</v>
      </c>
      <c r="N38" s="6">
        <f>+N36+N37</f>
        <v>366828.22919699998</v>
      </c>
    </row>
  </sheetData>
  <mergeCells count="12">
    <mergeCell ref="K3:K4"/>
    <mergeCell ref="L3:L4"/>
    <mergeCell ref="M3:M4"/>
    <mergeCell ref="N3:N4"/>
    <mergeCell ref="M2:N2"/>
    <mergeCell ref="A3:A4"/>
    <mergeCell ref="B3:E3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" workbookViewId="0">
      <pane xSplit="1" ySplit="3" topLeftCell="B20" activePane="bottomRight" state="frozen"/>
      <selection activeCell="A2" sqref="A2"/>
      <selection pane="topRight" activeCell="B2" sqref="B2"/>
      <selection pane="bottomLeft" activeCell="A5" sqref="A5"/>
      <selection pane="bottomRight" activeCell="G28" sqref="G28"/>
    </sheetView>
  </sheetViews>
  <sheetFormatPr defaultRowHeight="12.75" x14ac:dyDescent="0.2"/>
  <cols>
    <col min="1" max="1" width="41.140625" style="14" customWidth="1"/>
    <col min="2" max="2" width="14.42578125" style="14" customWidth="1"/>
    <col min="3" max="3" width="14.7109375" style="14" customWidth="1"/>
    <col min="4" max="4" width="11.140625" style="14" customWidth="1"/>
    <col min="5" max="5" width="10.28515625" style="14" customWidth="1"/>
    <col min="6" max="7" width="12" style="14" customWidth="1"/>
    <col min="8" max="8" width="10.140625" style="14" customWidth="1"/>
    <col min="9" max="16384" width="9.140625" style="14"/>
  </cols>
  <sheetData>
    <row r="1" spans="1:8" ht="15.75" x14ac:dyDescent="0.2">
      <c r="A1" s="16" t="s">
        <v>169</v>
      </c>
      <c r="B1" s="17"/>
      <c r="C1" s="17"/>
      <c r="D1" s="17"/>
      <c r="E1" s="17"/>
      <c r="F1" s="17"/>
      <c r="G1" s="17"/>
      <c r="H1" s="17"/>
    </row>
    <row r="2" spans="1:8" ht="14.25" x14ac:dyDescent="0.2">
      <c r="A2" s="11"/>
      <c r="G2" s="140" t="s">
        <v>0</v>
      </c>
      <c r="H2" s="140"/>
    </row>
    <row r="3" spans="1:8" ht="20.25" customHeight="1" x14ac:dyDescent="0.2">
      <c r="A3" s="134" t="s">
        <v>61</v>
      </c>
      <c r="B3" s="141" t="s">
        <v>116</v>
      </c>
      <c r="C3" s="142"/>
      <c r="D3" s="142"/>
      <c r="E3" s="143"/>
      <c r="F3" s="135" t="s">
        <v>120</v>
      </c>
      <c r="G3" s="135"/>
      <c r="H3" s="135"/>
    </row>
    <row r="4" spans="1:8" ht="56.25" customHeight="1" x14ac:dyDescent="0.2">
      <c r="A4" s="134"/>
      <c r="B4" s="15" t="s">
        <v>117</v>
      </c>
      <c r="C4" s="15" t="s">
        <v>118</v>
      </c>
      <c r="D4" s="15" t="s">
        <v>119</v>
      </c>
      <c r="E4" s="15" t="s">
        <v>123</v>
      </c>
      <c r="F4" s="18" t="s">
        <v>121</v>
      </c>
      <c r="G4" s="18" t="s">
        <v>122</v>
      </c>
      <c r="H4" s="15" t="s">
        <v>123</v>
      </c>
    </row>
    <row r="5" spans="1:8" ht="18" customHeight="1" x14ac:dyDescent="0.2">
      <c r="A5" s="13" t="s">
        <v>62</v>
      </c>
      <c r="B5" s="6">
        <f>+Achiv_Life!M5</f>
        <v>107781.24757000001</v>
      </c>
      <c r="C5" s="6">
        <f>+RA_Life!K5</f>
        <v>95182.285625999997</v>
      </c>
      <c r="D5" s="6">
        <f>+B5-C5</f>
        <v>12598.96194400001</v>
      </c>
      <c r="E5" s="32">
        <f>(B5-C5)/C5</f>
        <v>0.13236666740180147</v>
      </c>
      <c r="F5" s="6">
        <f>+Achiv_Life!B5</f>
        <v>5402.7525939999996</v>
      </c>
      <c r="G5" s="6">
        <f>+(4534345781+9557993)/1000000</f>
        <v>4543.9037740000003</v>
      </c>
      <c r="H5" s="6">
        <f>+(F5-G5)/G5</f>
        <v>0.18901122530681461</v>
      </c>
    </row>
    <row r="6" spans="1:8" ht="18" customHeight="1" x14ac:dyDescent="0.2">
      <c r="A6" s="13" t="s">
        <v>79</v>
      </c>
      <c r="B6" s="6">
        <f>+Achiv_Life!M6</f>
        <v>7.2803550000000001</v>
      </c>
      <c r="C6" s="6">
        <f>+RA_Life!K6</f>
        <v>-0.85847799999999996</v>
      </c>
      <c r="D6" s="6">
        <f t="shared" ref="D6:D37" si="0">+B6-C6</f>
        <v>8.138833</v>
      </c>
      <c r="E6" s="28">
        <f>(B6-C6)/C6</f>
        <v>-9.480537649188447</v>
      </c>
      <c r="F6" s="6">
        <f>+Achiv_Life!B6</f>
        <v>40.436242999999997</v>
      </c>
      <c r="G6" s="6">
        <f>48873395/1000000</f>
        <v>48.873395000000002</v>
      </c>
      <c r="H6" s="6">
        <f t="shared" ref="H6:H38" si="1">+(F6-G6)/G6</f>
        <v>-0.17263281996268121</v>
      </c>
    </row>
    <row r="7" spans="1:8" ht="18" customHeight="1" x14ac:dyDescent="0.2">
      <c r="A7" s="13" t="s">
        <v>80</v>
      </c>
      <c r="B7" s="6">
        <f>+Achiv_Life!M7</f>
        <v>767.52881000000002</v>
      </c>
      <c r="C7" s="6">
        <f>+RA_Life!K7</f>
        <v>833.34984499999996</v>
      </c>
      <c r="D7" s="6">
        <f t="shared" si="0"/>
        <v>-65.821034999999938</v>
      </c>
      <c r="E7" s="29">
        <f t="shared" ref="E7:E34" si="2">(B7-C7)/C7</f>
        <v>-7.8983677017423509E-2</v>
      </c>
      <c r="F7" s="6">
        <f>+Achiv_Life!B7</f>
        <v>61.257587999999998</v>
      </c>
      <c r="G7" s="6">
        <f>89359451/1000000</f>
        <v>89.359451000000007</v>
      </c>
      <c r="H7" s="6">
        <f t="shared" si="1"/>
        <v>-0.31448115096409901</v>
      </c>
    </row>
    <row r="8" spans="1:8" ht="18" customHeight="1" x14ac:dyDescent="0.2">
      <c r="A8" s="13" t="s">
        <v>63</v>
      </c>
      <c r="B8" s="6">
        <f>+Achiv_Life!M8</f>
        <v>5.3045960000000001</v>
      </c>
      <c r="C8" s="6">
        <f>+RA_Life!K8</f>
        <v>-18.298908000000001</v>
      </c>
      <c r="D8" s="6">
        <f t="shared" si="0"/>
        <v>23.603504000000001</v>
      </c>
      <c r="E8" s="29">
        <f t="shared" si="2"/>
        <v>-1.2898859319911331</v>
      </c>
      <c r="F8" s="6">
        <f>+Achiv_Life!B8</f>
        <v>190.24780100000001</v>
      </c>
      <c r="G8" s="6">
        <f>77753852/1000000</f>
        <v>77.753851999999995</v>
      </c>
      <c r="H8" s="6">
        <f t="shared" si="1"/>
        <v>1.4467958320572982</v>
      </c>
    </row>
    <row r="9" spans="1:8" ht="18" customHeight="1" x14ac:dyDescent="0.2">
      <c r="A9" s="13" t="s">
        <v>81</v>
      </c>
      <c r="B9" s="6">
        <f>+Achiv_Life!M9</f>
        <v>12.062265</v>
      </c>
      <c r="C9" s="6">
        <f>+RA_Life!K9</f>
        <v>-4.1575309999999996</v>
      </c>
      <c r="D9" s="6">
        <f t="shared" si="0"/>
        <v>16.219795999999999</v>
      </c>
      <c r="E9" s="29">
        <f t="shared" si="2"/>
        <v>-3.9013048850387406</v>
      </c>
      <c r="F9" s="6">
        <f>+Achiv_Life!B9</f>
        <v>44.298161</v>
      </c>
      <c r="G9" s="6">
        <f>42312778/1000000</f>
        <v>42.312778000000002</v>
      </c>
      <c r="H9" s="6">
        <f t="shared" si="1"/>
        <v>4.6921594228580284E-2</v>
      </c>
    </row>
    <row r="10" spans="1:8" ht="18" customHeight="1" x14ac:dyDescent="0.2">
      <c r="A10" s="13" t="s">
        <v>82</v>
      </c>
      <c r="B10" s="6">
        <f>+Achiv_Life!M10</f>
        <v>36742.205130000002</v>
      </c>
      <c r="C10" s="6">
        <f>+RA_Life!K10</f>
        <v>34702.479378000004</v>
      </c>
      <c r="D10" s="6">
        <f t="shared" si="0"/>
        <v>2039.7257519999985</v>
      </c>
      <c r="E10" s="29">
        <f t="shared" si="2"/>
        <v>5.8777522198978777E-2</v>
      </c>
      <c r="F10" s="6">
        <f>+Achiv_Life!B10</f>
        <v>1316.7182330000001</v>
      </c>
      <c r="G10" s="6">
        <f>1226516810/1000000</f>
        <v>1226.5168100000001</v>
      </c>
      <c r="H10" s="6">
        <f t="shared" si="1"/>
        <v>7.3542753156395774E-2</v>
      </c>
    </row>
    <row r="11" spans="1:8" ht="18" customHeight="1" x14ac:dyDescent="0.2">
      <c r="A11" s="13" t="s">
        <v>83</v>
      </c>
      <c r="B11" s="6">
        <f>+Achiv_Life!M11</f>
        <v>-33.808317000000002</v>
      </c>
      <c r="C11" s="6">
        <f>+RA_Life!K11</f>
        <v>-29.74051</v>
      </c>
      <c r="D11" s="6">
        <f t="shared" si="0"/>
        <v>-4.0678070000000019</v>
      </c>
      <c r="E11" s="29">
        <f t="shared" si="2"/>
        <v>0.13677663900181947</v>
      </c>
      <c r="F11" s="6">
        <f>+Achiv_Life!B11</f>
        <v>112.454179</v>
      </c>
      <c r="G11" s="6">
        <f>+(31664910+326100)/1000000</f>
        <v>31.991009999999999</v>
      </c>
      <c r="H11" s="6">
        <f t="shared" si="1"/>
        <v>2.5151806398109966</v>
      </c>
    </row>
    <row r="12" spans="1:8" ht="18" customHeight="1" x14ac:dyDescent="0.2">
      <c r="A12" s="13" t="s">
        <v>64</v>
      </c>
      <c r="B12" s="6">
        <f>+Achiv_Life!M12</f>
        <v>33447.462417000002</v>
      </c>
      <c r="C12" s="6">
        <f>+RA_Life!K12</f>
        <v>32166.085973000001</v>
      </c>
      <c r="D12" s="6">
        <f t="shared" si="0"/>
        <v>1281.3764440000014</v>
      </c>
      <c r="E12" s="29">
        <f t="shared" si="2"/>
        <v>3.9836256269276289E-2</v>
      </c>
      <c r="F12" s="6">
        <f>+Achiv_Life!B12</f>
        <v>3761.2294240000001</v>
      </c>
      <c r="G12" s="6">
        <f>3221158520/1000000</f>
        <v>3221.15852</v>
      </c>
      <c r="H12" s="6">
        <f t="shared" si="1"/>
        <v>0.16766355975551311</v>
      </c>
    </row>
    <row r="13" spans="1:8" ht="18" customHeight="1" x14ac:dyDescent="0.2">
      <c r="A13" s="13" t="s">
        <v>65</v>
      </c>
      <c r="B13" s="6">
        <f>+Achiv_Life!M13</f>
        <v>913.72823300000005</v>
      </c>
      <c r="C13" s="6">
        <f>+RA_Life!K13</f>
        <v>1242.136857</v>
      </c>
      <c r="D13" s="6">
        <f t="shared" si="0"/>
        <v>-328.40862399999992</v>
      </c>
      <c r="E13" s="29">
        <f t="shared" si="2"/>
        <v>-0.26439004860798515</v>
      </c>
      <c r="F13" s="6">
        <f>+Achiv_Life!B13</f>
        <v>89.429329999999993</v>
      </c>
      <c r="G13" s="6">
        <f>113749353/1000000</f>
        <v>113.749353</v>
      </c>
      <c r="H13" s="6">
        <f t="shared" si="1"/>
        <v>-0.21380361609617249</v>
      </c>
    </row>
    <row r="14" spans="1:8" ht="18" customHeight="1" x14ac:dyDescent="0.2">
      <c r="A14" s="13" t="s">
        <v>66</v>
      </c>
      <c r="B14" s="6">
        <f>+Achiv_Life!M14</f>
        <v>1038.65741</v>
      </c>
      <c r="C14" s="6">
        <f>+RA_Life!K14</f>
        <v>309.26948499999997</v>
      </c>
      <c r="D14" s="6">
        <f t="shared" si="0"/>
        <v>729.387925</v>
      </c>
      <c r="E14" s="29">
        <f t="shared" si="2"/>
        <v>2.3584218953900353</v>
      </c>
      <c r="F14" s="6">
        <f>+Achiv_Life!B14</f>
        <v>59.141015000000003</v>
      </c>
      <c r="G14" s="6">
        <f>27377873/1000000</f>
        <v>27.377873000000001</v>
      </c>
      <c r="H14" s="6">
        <f t="shared" si="1"/>
        <v>1.1601756644864267</v>
      </c>
    </row>
    <row r="15" spans="1:8" ht="18" customHeight="1" x14ac:dyDescent="0.2">
      <c r="A15" s="13" t="s">
        <v>76</v>
      </c>
      <c r="B15" s="6">
        <f>+Achiv_Life!M15</f>
        <v>2826.3009189999998</v>
      </c>
      <c r="C15" s="6">
        <f>+RA_Life!K15</f>
        <v>2813.427338</v>
      </c>
      <c r="D15" s="6">
        <f t="shared" si="0"/>
        <v>12.873580999999831</v>
      </c>
      <c r="E15" s="29">
        <f t="shared" si="2"/>
        <v>4.575764522552539E-3</v>
      </c>
      <c r="F15" s="6">
        <f>+Achiv_Life!B15</f>
        <v>421.673924</v>
      </c>
      <c r="G15" s="6">
        <f>384256172/1000000</f>
        <v>384.25617199999999</v>
      </c>
      <c r="H15" s="6">
        <f t="shared" si="1"/>
        <v>9.7377100815962972E-2</v>
      </c>
    </row>
    <row r="16" spans="1:8" ht="18" customHeight="1" x14ac:dyDescent="0.2">
      <c r="A16" s="13" t="s">
        <v>67</v>
      </c>
      <c r="B16" s="6">
        <f>+Achiv_Life!M16</f>
        <v>-48.109465999999998</v>
      </c>
      <c r="C16" s="6">
        <f>+RA_Life!K16</f>
        <v>-52.444564</v>
      </c>
      <c r="D16" s="6">
        <f t="shared" si="0"/>
        <v>4.3350980000000021</v>
      </c>
      <c r="E16" s="29">
        <f>(B16-C16)/C16</f>
        <v>-8.2660578511054114E-2</v>
      </c>
      <c r="F16" s="6">
        <f>+Achiv_Life!B16</f>
        <v>72.255000999999993</v>
      </c>
      <c r="G16" s="6">
        <f>72154208/1000000</f>
        <v>72.154207999999997</v>
      </c>
      <c r="H16" s="6">
        <f t="shared" si="1"/>
        <v>1.3969109050437629E-3</v>
      </c>
    </row>
    <row r="17" spans="1:8" ht="18" customHeight="1" x14ac:dyDescent="0.2">
      <c r="A17" s="13" t="s">
        <v>68</v>
      </c>
      <c r="B17" s="6">
        <f>+Achiv_Life!M17</f>
        <v>-13.649827999999999</v>
      </c>
      <c r="C17" s="6">
        <f>+RA_Life!K17</f>
        <v>-21.411536999999999</v>
      </c>
      <c r="D17" s="6">
        <f t="shared" si="0"/>
        <v>7.7617089999999997</v>
      </c>
      <c r="E17" s="29">
        <f t="shared" si="2"/>
        <v>-0.36250125341305484</v>
      </c>
      <c r="F17" s="6">
        <f>+Achiv_Life!B17</f>
        <v>68.286559999999994</v>
      </c>
      <c r="G17" s="6">
        <f>1423759/1000000</f>
        <v>1.423759</v>
      </c>
      <c r="H17" s="6">
        <f t="shared" si="1"/>
        <v>46.962162135586141</v>
      </c>
    </row>
    <row r="18" spans="1:8" ht="18" customHeight="1" x14ac:dyDescent="0.2">
      <c r="A18" s="13" t="s">
        <v>69</v>
      </c>
      <c r="B18" s="6">
        <f>+Achiv_Life!M18</f>
        <v>15634.617054</v>
      </c>
      <c r="C18" s="6">
        <f>+RA_Life!K18</f>
        <v>14689.895605</v>
      </c>
      <c r="D18" s="6">
        <f t="shared" si="0"/>
        <v>944.72144900000058</v>
      </c>
      <c r="E18" s="29">
        <f t="shared" si="2"/>
        <v>6.4310970915167409E-2</v>
      </c>
      <c r="F18" s="6">
        <f>+Achiv_Life!B18</f>
        <v>1017.614592</v>
      </c>
      <c r="G18" s="6">
        <f>1061181757/1000000</f>
        <v>1061.1817570000001</v>
      </c>
      <c r="H18" s="6">
        <f t="shared" si="1"/>
        <v>-4.1055327904586325E-2</v>
      </c>
    </row>
    <row r="19" spans="1:8" ht="18" customHeight="1" x14ac:dyDescent="0.2">
      <c r="A19" s="13" t="s">
        <v>84</v>
      </c>
      <c r="B19" s="6">
        <f>+Achiv_Life!M19</f>
        <v>2.803277</v>
      </c>
      <c r="C19" s="6">
        <f>+RA_Life!K19</f>
        <v>0.46162500000000001</v>
      </c>
      <c r="D19" s="6">
        <f t="shared" si="0"/>
        <v>2.3416519999999998</v>
      </c>
      <c r="E19" s="29">
        <f>(B19-C19)/C19</f>
        <v>5.0726282155429185</v>
      </c>
      <c r="F19" s="6">
        <f>+Achiv_Life!B19</f>
        <v>73.250898000000007</v>
      </c>
      <c r="G19" s="6">
        <f>67535664/1000000</f>
        <v>67.535663999999997</v>
      </c>
      <c r="H19" s="6">
        <f t="shared" si="1"/>
        <v>8.4625421021995273E-2</v>
      </c>
    </row>
    <row r="20" spans="1:8" ht="18" customHeight="1" x14ac:dyDescent="0.2">
      <c r="A20" s="13" t="s">
        <v>70</v>
      </c>
      <c r="B20" s="6">
        <f>+Achiv_Life!M20</f>
        <v>32907.692596000001</v>
      </c>
      <c r="C20" s="6">
        <f>+RA_Life!K20</f>
        <v>32356.375306000002</v>
      </c>
      <c r="D20" s="6">
        <f t="shared" si="0"/>
        <v>551.31728999999905</v>
      </c>
      <c r="E20" s="29">
        <f t="shared" si="2"/>
        <v>1.7038907627510601E-2</v>
      </c>
      <c r="F20" s="6">
        <f>+Achiv_Life!B20</f>
        <v>2174.6731450000002</v>
      </c>
      <c r="G20" s="6">
        <f>2022097417/1000000</f>
        <v>2022.097417</v>
      </c>
      <c r="H20" s="6">
        <f t="shared" si="1"/>
        <v>7.545419262063191E-2</v>
      </c>
    </row>
    <row r="21" spans="1:8" ht="18" customHeight="1" x14ac:dyDescent="0.2">
      <c r="A21" s="13" t="s">
        <v>71</v>
      </c>
      <c r="B21" s="6">
        <f>+Achiv_Life!M21</f>
        <v>-36.431784999999998</v>
      </c>
      <c r="C21" s="6">
        <f>+RA_Life!K21</f>
        <v>-29.543310000000002</v>
      </c>
      <c r="D21" s="6">
        <f t="shared" si="0"/>
        <v>-6.8884749999999961</v>
      </c>
      <c r="E21" s="29">
        <f t="shared" si="2"/>
        <v>0.23316530882964689</v>
      </c>
      <c r="F21" s="6">
        <f>+Achiv_Life!B21</f>
        <v>30.587924000000001</v>
      </c>
      <c r="G21" s="6">
        <f>33114176/1000000</f>
        <v>33.114176</v>
      </c>
      <c r="H21" s="6">
        <f t="shared" si="1"/>
        <v>-7.6289139732783909E-2</v>
      </c>
    </row>
    <row r="22" spans="1:8" ht="18" customHeight="1" x14ac:dyDescent="0.2">
      <c r="A22" s="13" t="s">
        <v>77</v>
      </c>
      <c r="B22" s="6">
        <f>+Achiv_Life!M22</f>
        <v>-57.031232000000003</v>
      </c>
      <c r="C22" s="6">
        <f>+RA_Life!K22</f>
        <v>-59.844527999999997</v>
      </c>
      <c r="D22" s="6">
        <f t="shared" si="0"/>
        <v>2.813295999999994</v>
      </c>
      <c r="E22" s="29">
        <f t="shared" si="2"/>
        <v>-4.7010079183847753E-2</v>
      </c>
      <c r="F22" s="6">
        <f>+Achiv_Life!B22</f>
        <v>35.827167000000003</v>
      </c>
      <c r="G22" s="6">
        <f>17201893/1000000</f>
        <v>17.201892999999998</v>
      </c>
      <c r="H22" s="6">
        <f t="shared" si="1"/>
        <v>1.0827456024752629</v>
      </c>
    </row>
    <row r="23" spans="1:8" ht="18" customHeight="1" x14ac:dyDescent="0.2">
      <c r="A23" s="13" t="s">
        <v>231</v>
      </c>
      <c r="B23" s="6">
        <f>+Achiv_Life!M23</f>
        <v>0</v>
      </c>
      <c r="C23" s="6">
        <f>+RA_Life!K23</f>
        <v>0</v>
      </c>
      <c r="D23" s="6">
        <f t="shared" si="0"/>
        <v>0</v>
      </c>
      <c r="E23" s="29" t="e">
        <f t="shared" si="2"/>
        <v>#DIV/0!</v>
      </c>
      <c r="F23" s="6">
        <f>+Achiv_Life!B23</f>
        <v>0</v>
      </c>
      <c r="G23" s="6"/>
      <c r="H23" s="6" t="e">
        <f t="shared" si="1"/>
        <v>#DIV/0!</v>
      </c>
    </row>
    <row r="24" spans="1:8" ht="18" customHeight="1" x14ac:dyDescent="0.2">
      <c r="A24" s="13" t="s">
        <v>72</v>
      </c>
      <c r="B24" s="6">
        <f>+Achiv_Life!M24</f>
        <v>8466.5939920000001</v>
      </c>
      <c r="C24" s="6">
        <f>+RA_Life!K24</f>
        <v>7955.4743820000003</v>
      </c>
      <c r="D24" s="6">
        <f t="shared" si="0"/>
        <v>511.11960999999974</v>
      </c>
      <c r="E24" s="29">
        <f>(B24-C24)/C24</f>
        <v>6.4247533893950479E-2</v>
      </c>
      <c r="F24" s="6">
        <f>+Achiv_Life!B24</f>
        <v>1150.0259169999999</v>
      </c>
      <c r="G24" s="6">
        <f>1060231680/1000000</f>
        <v>1060.2316800000001</v>
      </c>
      <c r="H24" s="6">
        <f t="shared" si="1"/>
        <v>8.4693033318906139E-2</v>
      </c>
    </row>
    <row r="25" spans="1:8" ht="18" customHeight="1" x14ac:dyDescent="0.2">
      <c r="A25" s="13" t="s">
        <v>85</v>
      </c>
      <c r="B25" s="6">
        <f>+Achiv_Life!M25</f>
        <v>22866.74379</v>
      </c>
      <c r="C25" s="6">
        <f>+RA_Life!K25</f>
        <v>25054.461082000002</v>
      </c>
      <c r="D25" s="6">
        <f t="shared" si="0"/>
        <v>-2187.7172920000012</v>
      </c>
      <c r="E25" s="29">
        <f t="shared" si="2"/>
        <v>-8.7318473338535846E-2</v>
      </c>
      <c r="F25" s="6">
        <f>+Achiv_Life!B25</f>
        <v>2754.8998919999999</v>
      </c>
      <c r="G25" s="6">
        <f>2500595330/1000000</f>
        <v>2500.5953300000001</v>
      </c>
      <c r="H25" s="6">
        <f t="shared" si="1"/>
        <v>0.10169760734536755</v>
      </c>
    </row>
    <row r="26" spans="1:8" ht="18" customHeight="1" x14ac:dyDescent="0.2">
      <c r="A26" s="13" t="s">
        <v>86</v>
      </c>
      <c r="B26" s="6">
        <f>+Achiv_Life!M26</f>
        <v>1288.257466</v>
      </c>
      <c r="C26" s="6">
        <f>+RA_Life!K26</f>
        <v>2732.7258320000001</v>
      </c>
      <c r="D26" s="6">
        <f t="shared" si="0"/>
        <v>-1444.4683660000001</v>
      </c>
      <c r="E26" s="29">
        <f t="shared" si="2"/>
        <v>-0.52858151706453371</v>
      </c>
      <c r="F26" s="6">
        <f>+Achiv_Life!B26</f>
        <v>421.32776799999999</v>
      </c>
      <c r="G26" s="6">
        <f>530203910/1000000</f>
        <v>530.20390999999995</v>
      </c>
      <c r="H26" s="6">
        <f t="shared" si="1"/>
        <v>-0.20534767840546475</v>
      </c>
    </row>
    <row r="27" spans="1:8" ht="18" customHeight="1" x14ac:dyDescent="0.2">
      <c r="A27" s="13" t="s">
        <v>87</v>
      </c>
      <c r="B27" s="6">
        <f>+Achiv_Life!M27</f>
        <v>5216.4510769999997</v>
      </c>
      <c r="C27" s="6">
        <f>+RA_Life!K27</f>
        <v>4761.1262919999999</v>
      </c>
      <c r="D27" s="6">
        <f t="shared" si="0"/>
        <v>455.32478499999979</v>
      </c>
      <c r="E27" s="29">
        <f t="shared" si="2"/>
        <v>9.563383894375381E-2</v>
      </c>
      <c r="F27" s="6">
        <f>+Achiv_Life!B27</f>
        <v>649.89830700000005</v>
      </c>
      <c r="G27" s="6">
        <f>579371238/1000000</f>
        <v>579.37123799999995</v>
      </c>
      <c r="H27" s="6">
        <f t="shared" si="1"/>
        <v>0.1217303593520811</v>
      </c>
    </row>
    <row r="28" spans="1:8" ht="18" customHeight="1" x14ac:dyDescent="0.2">
      <c r="A28" s="13" t="s">
        <v>78</v>
      </c>
      <c r="B28" s="6">
        <f>+Achiv_Life!M28</f>
        <v>4267.5230410000004</v>
      </c>
      <c r="C28" s="6">
        <f>+RA_Life!K28</f>
        <v>4023.8780339999998</v>
      </c>
      <c r="D28" s="6">
        <f t="shared" si="0"/>
        <v>243.64500700000053</v>
      </c>
      <c r="E28" s="29">
        <f t="shared" si="2"/>
        <v>6.0549799208949019E-2</v>
      </c>
      <c r="F28" s="6">
        <f>+Achiv_Life!B28</f>
        <v>846.47004600000002</v>
      </c>
      <c r="G28" s="6">
        <f>850503037/1000000</f>
        <v>850.50303699999995</v>
      </c>
      <c r="H28" s="6">
        <f t="shared" si="1"/>
        <v>-4.7418890051534584E-3</v>
      </c>
    </row>
    <row r="29" spans="1:8" ht="18" customHeight="1" x14ac:dyDescent="0.2">
      <c r="A29" s="13" t="s">
        <v>73</v>
      </c>
      <c r="B29" s="6">
        <f>+Achiv_Life!M29</f>
        <v>8517.615065</v>
      </c>
      <c r="C29" s="6">
        <f>+RA_Life!K29</f>
        <v>8610.3339599999999</v>
      </c>
      <c r="D29" s="6">
        <f t="shared" si="0"/>
        <v>-92.718894999999975</v>
      </c>
      <c r="E29" s="29">
        <f t="shared" si="2"/>
        <v>-1.0768327387849655E-2</v>
      </c>
      <c r="F29" s="6">
        <f>+Achiv_Life!B29</f>
        <v>604.65226900000005</v>
      </c>
      <c r="G29" s="6">
        <f>601309317/1000000</f>
        <v>601.30931699999996</v>
      </c>
      <c r="H29" s="6">
        <f t="shared" si="1"/>
        <v>5.559454852085856E-3</v>
      </c>
    </row>
    <row r="30" spans="1:8" ht="18" customHeight="1" x14ac:dyDescent="0.2">
      <c r="A30" s="13" t="s">
        <v>74</v>
      </c>
      <c r="B30" s="6">
        <f>+Achiv_Life!M30</f>
        <v>1729.0835380000001</v>
      </c>
      <c r="C30" s="6">
        <f>+RA_Life!K30</f>
        <v>1758.7687450000001</v>
      </c>
      <c r="D30" s="6">
        <f t="shared" si="0"/>
        <v>-29.685206999999991</v>
      </c>
      <c r="E30" s="29">
        <f t="shared" si="2"/>
        <v>-1.6878402623649074E-2</v>
      </c>
      <c r="F30" s="6">
        <f>+Achiv_Life!B30</f>
        <v>536.83539299999995</v>
      </c>
      <c r="G30" s="6">
        <f>489075023/1000000</f>
        <v>489.07502299999999</v>
      </c>
      <c r="H30" s="6">
        <f t="shared" si="1"/>
        <v>9.7654486027596563E-2</v>
      </c>
    </row>
    <row r="31" spans="1:8" ht="18" customHeight="1" x14ac:dyDescent="0.2">
      <c r="A31" s="13" t="s">
        <v>88</v>
      </c>
      <c r="B31" s="6">
        <f>+Achiv_Life!M31</f>
        <v>3035.9586920000002</v>
      </c>
      <c r="C31" s="6">
        <f>+RA_Life!K31</f>
        <v>3154.9726569999998</v>
      </c>
      <c r="D31" s="6">
        <f t="shared" si="0"/>
        <v>-119.01396499999964</v>
      </c>
      <c r="E31" s="29">
        <f t="shared" si="2"/>
        <v>-3.7722661315603173E-2</v>
      </c>
      <c r="F31" s="6">
        <f>+Achiv_Life!B31</f>
        <v>406.73675600000001</v>
      </c>
      <c r="G31" s="6">
        <f>392585618/1000000</f>
        <v>392.58561800000001</v>
      </c>
      <c r="H31" s="6">
        <f t="shared" si="1"/>
        <v>3.6045991883482606E-2</v>
      </c>
    </row>
    <row r="32" spans="1:8" ht="18" customHeight="1" x14ac:dyDescent="0.2">
      <c r="A32" s="13" t="s">
        <v>89</v>
      </c>
      <c r="B32" s="6">
        <f>+Achiv_Life!M32</f>
        <v>253.07393400000001</v>
      </c>
      <c r="C32" s="6">
        <f>+RA_Life!K32</f>
        <v>57.496791000000002</v>
      </c>
      <c r="D32" s="6">
        <f t="shared" si="0"/>
        <v>195.57714300000001</v>
      </c>
      <c r="E32" s="29">
        <f t="shared" si="2"/>
        <v>3.4015314524248841</v>
      </c>
      <c r="F32" s="6">
        <f>+Achiv_Life!B32</f>
        <v>308.33502900000002</v>
      </c>
      <c r="G32" s="6">
        <f>117087531/1000000</f>
        <v>117.087531</v>
      </c>
      <c r="H32" s="6">
        <f t="shared" si="1"/>
        <v>1.6333720283161492</v>
      </c>
    </row>
    <row r="33" spans="1:8" ht="18" customHeight="1" x14ac:dyDescent="0.2">
      <c r="A33" s="13" t="s">
        <v>75</v>
      </c>
      <c r="B33" s="6">
        <f>+Achiv_Life!M33</f>
        <v>-28.16675</v>
      </c>
      <c r="C33" s="6">
        <f>+RA_Life!K33</f>
        <v>-20.558399999999999</v>
      </c>
      <c r="D33" s="6">
        <f t="shared" si="0"/>
        <v>-7.6083500000000015</v>
      </c>
      <c r="E33" s="29">
        <f t="shared" si="2"/>
        <v>0.37008473422056198</v>
      </c>
      <c r="F33" s="6">
        <f>+Achiv_Life!B33</f>
        <v>24.506803000000001</v>
      </c>
      <c r="G33" s="6">
        <f>15517534/1000000</f>
        <v>15.517533999999999</v>
      </c>
      <c r="H33" s="6">
        <f t="shared" si="1"/>
        <v>0.57929752240272214</v>
      </c>
    </row>
    <row r="34" spans="1:8" ht="18" customHeight="1" x14ac:dyDescent="0.2">
      <c r="A34" s="13" t="s">
        <v>90</v>
      </c>
      <c r="B34" s="6">
        <f>+Achiv_Life!M34</f>
        <v>-4.3185370000000001</v>
      </c>
      <c r="C34" s="6">
        <f>+RA_Life!K34</f>
        <v>-22.665821999999999</v>
      </c>
      <c r="D34" s="6">
        <f t="shared" si="0"/>
        <v>18.347284999999999</v>
      </c>
      <c r="E34" s="29">
        <f t="shared" si="2"/>
        <v>-0.80946920874963191</v>
      </c>
      <c r="F34" s="6">
        <f>+Achiv_Life!B34</f>
        <v>129.18870999999999</v>
      </c>
      <c r="G34" s="6">
        <f>164591611/1000000</f>
        <v>164.591611</v>
      </c>
      <c r="H34" s="6">
        <f t="shared" si="1"/>
        <v>-0.21509541576818283</v>
      </c>
    </row>
    <row r="35" spans="1:8" ht="18" customHeight="1" x14ac:dyDescent="0.2">
      <c r="A35" s="13" t="s">
        <v>91</v>
      </c>
      <c r="B35" s="6">
        <f>+Achiv_Life!M35</f>
        <v>-57.494937999999998</v>
      </c>
      <c r="C35" s="6">
        <f>+RA_Life!K35</f>
        <v>-87.078387000000006</v>
      </c>
      <c r="D35" s="6">
        <f t="shared" si="0"/>
        <v>29.583449000000009</v>
      </c>
      <c r="E35" s="29">
        <f>(B35-C35)/C35</f>
        <v>-0.33973354375523751</v>
      </c>
      <c r="F35" s="6">
        <f>+Achiv_Life!B35</f>
        <v>185.89438699999999</v>
      </c>
      <c r="G35" s="6">
        <f>142978533/1000000</f>
        <v>142.978533</v>
      </c>
      <c r="H35" s="6">
        <f t="shared" si="1"/>
        <v>0.30015592620467013</v>
      </c>
    </row>
    <row r="36" spans="1:8" ht="18" customHeight="1" x14ac:dyDescent="0.2">
      <c r="A36" s="10" t="s">
        <v>92</v>
      </c>
      <c r="B36" s="6">
        <f>SUM(B5:B35)</f>
        <v>287449.18037400016</v>
      </c>
      <c r="C36" s="6">
        <f>SUM(C5:C35)</f>
        <v>272058.40283799998</v>
      </c>
      <c r="D36" s="6">
        <f>SUM(D5:D35)</f>
        <v>15390.777536000003</v>
      </c>
      <c r="E36" s="29">
        <f>(B36-C36)/C36</f>
        <v>5.6571594096892434E-2</v>
      </c>
      <c r="F36" s="6">
        <f>SUM(F5:F35)</f>
        <v>22990.905055999996</v>
      </c>
      <c r="G36" s="6">
        <f>SUM(G5:G35)</f>
        <v>20526.012223999998</v>
      </c>
      <c r="H36" s="6">
        <f t="shared" si="1"/>
        <v>0.12008629855135362</v>
      </c>
    </row>
    <row r="37" spans="1:8" ht="18" customHeight="1" x14ac:dyDescent="0.2">
      <c r="A37" s="13" t="s">
        <v>93</v>
      </c>
      <c r="B37" s="6">
        <f>+Achiv_Life!M37</f>
        <v>18522.854067</v>
      </c>
      <c r="C37" s="6">
        <f>+RA_Life!K37</f>
        <v>17846.480266999999</v>
      </c>
      <c r="D37" s="6">
        <f t="shared" si="0"/>
        <v>676.37380000000121</v>
      </c>
      <c r="E37" s="29">
        <f>(B37-C37)/C37</f>
        <v>3.7899562820277052E-2</v>
      </c>
      <c r="F37" s="6">
        <f>+Achiv_Life!B37</f>
        <v>955.61460999999997</v>
      </c>
      <c r="G37" s="6">
        <f>775252935/1000000</f>
        <v>775.25293499999998</v>
      </c>
      <c r="H37" s="6">
        <f t="shared" si="1"/>
        <v>0.23264881286776423</v>
      </c>
    </row>
    <row r="38" spans="1:8" ht="18" customHeight="1" x14ac:dyDescent="0.2">
      <c r="A38" s="10" t="s">
        <v>94</v>
      </c>
      <c r="B38" s="6">
        <f>+B36+B37</f>
        <v>305972.03444100014</v>
      </c>
      <c r="C38" s="6">
        <f>+C36+C37</f>
        <v>289904.88310499996</v>
      </c>
      <c r="D38" s="6">
        <f>+D36+D37</f>
        <v>16067.151336000004</v>
      </c>
      <c r="E38" s="29">
        <f>(B38-C38)/C38</f>
        <v>5.542214799528182E-2</v>
      </c>
      <c r="F38" s="6">
        <f>+F36+F37</f>
        <v>23946.519665999997</v>
      </c>
      <c r="G38" s="6">
        <f>+G36+G37</f>
        <v>21301.265158999999</v>
      </c>
      <c r="H38" s="6">
        <f t="shared" si="1"/>
        <v>0.12418297632816196</v>
      </c>
    </row>
  </sheetData>
  <mergeCells count="4">
    <mergeCell ref="F3:H3"/>
    <mergeCell ref="G2:H2"/>
    <mergeCell ref="A3:A4"/>
    <mergeCell ref="B3:E3"/>
  </mergeCells>
  <pageMargins left="0.7" right="0.7" top="0.75" bottom="0.75" header="0.3" footer="0.3"/>
  <pageSetup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RowHeight="12.75" x14ac:dyDescent="0.2"/>
  <cols>
    <col min="1" max="1" width="41.140625" style="14" customWidth="1"/>
    <col min="2" max="2" width="9.85546875" style="36" bestFit="1" customWidth="1"/>
    <col min="3" max="3" width="9.140625" style="14" customWidth="1"/>
    <col min="4" max="4" width="10" style="14" customWidth="1"/>
    <col min="5" max="5" width="9" style="14" bestFit="1" customWidth="1"/>
    <col min="6" max="7" width="9" style="14" customWidth="1"/>
    <col min="8" max="8" width="9.85546875" style="14" bestFit="1" customWidth="1"/>
    <col min="9" max="11" width="9.140625" style="14"/>
    <col min="12" max="12" width="8.85546875" style="14" customWidth="1"/>
    <col min="13" max="13" width="9.140625" style="14"/>
    <col min="14" max="14" width="10.7109375" style="14" customWidth="1"/>
    <col min="15" max="16384" width="9.140625" style="14"/>
  </cols>
  <sheetData>
    <row r="1" spans="1:15" ht="15.75" x14ac:dyDescent="0.2">
      <c r="A1" s="16" t="s">
        <v>170</v>
      </c>
      <c r="B1" s="3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4.25" x14ac:dyDescent="0.2">
      <c r="A2" s="11"/>
      <c r="M2" s="140" t="s">
        <v>0</v>
      </c>
      <c r="N2" s="140"/>
    </row>
    <row r="3" spans="1:15" ht="20.25" customHeight="1" x14ac:dyDescent="0.2">
      <c r="A3" s="134" t="s">
        <v>61</v>
      </c>
      <c r="B3" s="135" t="s">
        <v>21</v>
      </c>
      <c r="C3" s="135"/>
      <c r="D3" s="135"/>
      <c r="E3" s="135"/>
      <c r="F3" s="135"/>
      <c r="G3" s="135"/>
      <c r="H3" s="135"/>
      <c r="I3" s="135" t="s">
        <v>97</v>
      </c>
      <c r="J3" s="135"/>
      <c r="K3" s="135"/>
      <c r="L3" s="135"/>
      <c r="M3" s="135"/>
      <c r="N3" s="135"/>
    </row>
    <row r="4" spans="1:15" ht="66" customHeight="1" x14ac:dyDescent="0.2">
      <c r="A4" s="134"/>
      <c r="B4" s="37" t="s">
        <v>24</v>
      </c>
      <c r="C4" s="15" t="s">
        <v>25</v>
      </c>
      <c r="D4" s="15" t="s">
        <v>95</v>
      </c>
      <c r="E4" s="15" t="s">
        <v>27</v>
      </c>
      <c r="F4" s="15" t="s">
        <v>28</v>
      </c>
      <c r="G4" s="15" t="s">
        <v>44</v>
      </c>
      <c r="H4" s="15" t="s">
        <v>96</v>
      </c>
      <c r="I4" s="15" t="s">
        <v>31</v>
      </c>
      <c r="J4" s="15" t="s">
        <v>171</v>
      </c>
      <c r="K4" s="15" t="s">
        <v>33</v>
      </c>
      <c r="L4" s="15" t="s">
        <v>98</v>
      </c>
      <c r="M4" s="15" t="s">
        <v>218</v>
      </c>
      <c r="N4" s="15" t="s">
        <v>99</v>
      </c>
    </row>
    <row r="5" spans="1:15" ht="18" customHeight="1" x14ac:dyDescent="0.2">
      <c r="A5" s="7" t="s">
        <v>124</v>
      </c>
      <c r="B5" s="33">
        <f>78711187/1000000</f>
        <v>78.711186999999995</v>
      </c>
      <c r="C5" s="6">
        <f>213050000/1000000</f>
        <v>213.05</v>
      </c>
      <c r="D5" s="6">
        <f>+(256509589-213050000)/1000000</f>
        <v>43.459589000000001</v>
      </c>
      <c r="E5" s="6">
        <f>128254072/1000000</f>
        <v>128.25407200000001</v>
      </c>
      <c r="F5" s="6">
        <f>+(220352316-128254072)/1000000</f>
        <v>92.098243999999994</v>
      </c>
      <c r="G5" s="6">
        <f>+(133952558+36359388)/1000000</f>
        <v>170.31194600000001</v>
      </c>
      <c r="H5" s="6">
        <f>+SUM(B5:G5)</f>
        <v>725.88503800000001</v>
      </c>
      <c r="I5" s="6">
        <f>274328230/1000000</f>
        <v>274.32823000000002</v>
      </c>
      <c r="J5" s="6">
        <v>0</v>
      </c>
      <c r="K5" s="6">
        <f>211889174/1000000</f>
        <v>211.889174</v>
      </c>
      <c r="L5" s="6">
        <f>71389632/1000000</f>
        <v>71.389632000000006</v>
      </c>
      <c r="M5" s="6">
        <f>+(14734548+22891038+130652416)/1000000</f>
        <v>168.27800199999999</v>
      </c>
      <c r="N5" s="6">
        <f>+SUM(I5:M5)</f>
        <v>725.88503800000001</v>
      </c>
      <c r="O5" s="43"/>
    </row>
    <row r="6" spans="1:15" ht="18" customHeight="1" x14ac:dyDescent="0.2">
      <c r="A6" s="7" t="s">
        <v>125</v>
      </c>
      <c r="B6" s="33">
        <f>223598850/1000000</f>
        <v>223.59885</v>
      </c>
      <c r="C6" s="6">
        <f>651784213/1000000</f>
        <v>651.78421300000002</v>
      </c>
      <c r="D6" s="6">
        <f>30026022/1000000</f>
        <v>30.026022000000001</v>
      </c>
      <c r="E6" s="6">
        <f>48472672/1000000</f>
        <v>48.472672000000003</v>
      </c>
      <c r="F6" s="6">
        <f>+(21865601+91394512+248941519+758714+1058824)/1000000</f>
        <v>364.01916999999997</v>
      </c>
      <c r="G6" s="6">
        <f>228907765/1000000</f>
        <v>228.90776500000001</v>
      </c>
      <c r="H6" s="6">
        <f t="shared" ref="H6:H49" si="0">+SUM(B6:G6)</f>
        <v>1546.8086919999998</v>
      </c>
      <c r="I6" s="6">
        <f>470698580/1000000</f>
        <v>470.69857999999999</v>
      </c>
      <c r="J6" s="6">
        <f>116288920/1000000</f>
        <v>116.28892</v>
      </c>
      <c r="K6" s="6">
        <f>284814960/1000000</f>
        <v>284.81495999999999</v>
      </c>
      <c r="L6" s="6">
        <f>136838759/1000000</f>
        <v>136.83875900000001</v>
      </c>
      <c r="M6" s="6">
        <f>+(19085393+140252717+73632948+65900850+588616+235634893+3072055)/1000000</f>
        <v>538.16747199999998</v>
      </c>
      <c r="N6" s="6">
        <f t="shared" ref="N6:N49" si="1">+SUM(I6:M6)</f>
        <v>1546.8086909999997</v>
      </c>
      <c r="O6" s="43"/>
    </row>
    <row r="7" spans="1:15" ht="18" customHeight="1" x14ac:dyDescent="0.2">
      <c r="A7" s="9" t="s">
        <v>126</v>
      </c>
      <c r="B7" s="33">
        <f>285348324/1000000</f>
        <v>285.34832399999999</v>
      </c>
      <c r="C7" s="6">
        <f>466436940/1000000</f>
        <v>466.43693999999999</v>
      </c>
      <c r="D7" s="6">
        <f>107649750/1000000</f>
        <v>107.64975</v>
      </c>
      <c r="E7" s="6">
        <v>0</v>
      </c>
      <c r="F7" s="6">
        <f>+(156310+266187+17898914+78464577+185775236)/1000000</f>
        <v>282.56122399999998</v>
      </c>
      <c r="G7" s="6">
        <f>206747914/1000000</f>
        <v>206.74791400000001</v>
      </c>
      <c r="H7" s="6">
        <f t="shared" si="0"/>
        <v>1348.744152</v>
      </c>
      <c r="I7" s="6">
        <f>423500000/1000000</f>
        <v>423.5</v>
      </c>
      <c r="J7" s="6">
        <f>102698750/1000000</f>
        <v>102.69875</v>
      </c>
      <c r="K7" s="6">
        <f>(203600000+70204838)/1000000</f>
        <v>273.80483800000002</v>
      </c>
      <c r="L7" s="6">
        <f>113161762/1000000</f>
        <v>113.161762</v>
      </c>
      <c r="M7" s="6">
        <f>+(9316030+51082610+4794658+132389628+2311529+90770027+144914320)/1000000</f>
        <v>435.578802</v>
      </c>
      <c r="N7" s="6">
        <f t="shared" si="1"/>
        <v>1348.744152</v>
      </c>
      <c r="O7" s="43"/>
    </row>
    <row r="8" spans="1:15" ht="18" customHeight="1" x14ac:dyDescent="0.2">
      <c r="A8" s="7" t="s">
        <v>127</v>
      </c>
      <c r="B8" s="33">
        <f>279076396/1000000</f>
        <v>279.07639599999999</v>
      </c>
      <c r="C8" s="6">
        <f>623829011/1000000</f>
        <v>623.82901100000004</v>
      </c>
      <c r="D8" s="6">
        <f>+(997029995-623829011)/1000000</f>
        <v>373.20098400000001</v>
      </c>
      <c r="E8" s="6">
        <f>39636830/1000000</f>
        <v>39.636830000000003</v>
      </c>
      <c r="F8" s="6">
        <f>+(79285848+209626588+4611495)/1000000</f>
        <v>293.523931</v>
      </c>
      <c r="G8" s="6">
        <f>107501418/1000000</f>
        <v>107.501418</v>
      </c>
      <c r="H8" s="6">
        <f t="shared" si="0"/>
        <v>1716.76857</v>
      </c>
      <c r="I8" s="6">
        <f>540272550/1000000</f>
        <v>540.27255000000002</v>
      </c>
      <c r="J8" s="6">
        <f>244825200/1000000</f>
        <v>244.8252</v>
      </c>
      <c r="K8" s="6">
        <f>226733580/1000000</f>
        <v>226.73357999999999</v>
      </c>
      <c r="L8" s="6">
        <f>(181325601+55486122)/1000000</f>
        <v>236.811723</v>
      </c>
      <c r="M8" s="6">
        <f>+(5380501+3894000+458851016)/1000000</f>
        <v>468.125517</v>
      </c>
      <c r="N8" s="6">
        <f t="shared" si="1"/>
        <v>1716.76857</v>
      </c>
      <c r="O8" s="43"/>
    </row>
    <row r="9" spans="1:15" ht="18" customHeight="1" x14ac:dyDescent="0.2">
      <c r="A9" s="7" t="s">
        <v>128</v>
      </c>
      <c r="B9" s="33">
        <f>3511000/1000000</f>
        <v>3.5110000000000001</v>
      </c>
      <c r="C9" s="6">
        <f>19188588/1000000</f>
        <v>19.188587999999999</v>
      </c>
      <c r="D9" s="6">
        <v>7.05</v>
      </c>
      <c r="E9" s="6">
        <v>17.18</v>
      </c>
      <c r="F9" s="6">
        <v>75.56</v>
      </c>
      <c r="G9" s="6">
        <f>5901514/1000000</f>
        <v>5.9015139999999997</v>
      </c>
      <c r="H9" s="6">
        <f t="shared" si="0"/>
        <v>128.39110199999999</v>
      </c>
      <c r="I9" s="6">
        <v>15.71</v>
      </c>
      <c r="J9" s="6">
        <v>0</v>
      </c>
      <c r="K9" s="6">
        <v>36.54</v>
      </c>
      <c r="L9" s="6">
        <f>36994275/1000000</f>
        <v>36.994275000000002</v>
      </c>
      <c r="M9" s="6">
        <v>39.15</v>
      </c>
      <c r="N9" s="6">
        <f t="shared" si="1"/>
        <v>128.39427499999999</v>
      </c>
      <c r="O9" s="43"/>
    </row>
    <row r="10" spans="1:15" ht="18" customHeight="1" x14ac:dyDescent="0.2">
      <c r="A10" s="7" t="s">
        <v>129</v>
      </c>
      <c r="B10" s="33">
        <f>83728157/1000000</f>
        <v>83.728156999999996</v>
      </c>
      <c r="C10" s="6">
        <f>853492295/1000000</f>
        <v>853.49229500000001</v>
      </c>
      <c r="D10" s="6">
        <f>+(921618371-853492295)/1000000</f>
        <v>68.126075999999998</v>
      </c>
      <c r="E10" s="6">
        <f>103491537/1000000</f>
        <v>103.49153699999999</v>
      </c>
      <c r="F10" s="6">
        <f>+(24746014+1200851+655420)/1000000</f>
        <v>26.602284999999998</v>
      </c>
      <c r="G10" s="6">
        <f>100561350/1000000</f>
        <v>100.56135</v>
      </c>
      <c r="H10" s="6">
        <f t="shared" si="0"/>
        <v>1236.0016999999998</v>
      </c>
      <c r="I10" s="6">
        <f>442500000/1000000</f>
        <v>442.5</v>
      </c>
      <c r="J10" s="6">
        <v>0</v>
      </c>
      <c r="K10" s="6">
        <f>312085666/1000000</f>
        <v>312.085666</v>
      </c>
      <c r="L10" s="6">
        <f>150360198/1000000</f>
        <v>150.360198</v>
      </c>
      <c r="M10" s="6">
        <f>+(10303234+320752602)/1000000</f>
        <v>331.055836</v>
      </c>
      <c r="N10" s="6">
        <f t="shared" si="1"/>
        <v>1236.0016999999998</v>
      </c>
      <c r="O10" s="43"/>
    </row>
    <row r="11" spans="1:15" ht="18" customHeight="1" x14ac:dyDescent="0.2">
      <c r="A11" s="7" t="s">
        <v>130</v>
      </c>
      <c r="B11" s="33">
        <f>224481833/1000000</f>
        <v>224.48183299999999</v>
      </c>
      <c r="C11" s="6">
        <f>526450010/1000000</f>
        <v>526.45001000000002</v>
      </c>
      <c r="D11" s="6">
        <f>+(554415155-526450010)/1000000</f>
        <v>27.965145</v>
      </c>
      <c r="E11" s="6">
        <f>304714484/1000000</f>
        <v>304.71448400000003</v>
      </c>
      <c r="F11" s="6">
        <f>+(17515498+169545046+461729+162175+435057)/1000000</f>
        <v>188.119505</v>
      </c>
      <c r="G11" s="6">
        <f>+(411585342+19179629)/1000000</f>
        <v>430.764971</v>
      </c>
      <c r="H11" s="6">
        <f t="shared" si="0"/>
        <v>1702.4959480000002</v>
      </c>
      <c r="I11" s="6">
        <f>470829000/1000000</f>
        <v>470.82900000000001</v>
      </c>
      <c r="J11" s="6">
        <f>56167900/1000000</f>
        <v>56.167900000000003</v>
      </c>
      <c r="K11" s="6">
        <f>546756265/1000000</f>
        <v>546.75626499999998</v>
      </c>
      <c r="L11" s="6">
        <f>97682447/1000000</f>
        <v>97.682446999999996</v>
      </c>
      <c r="M11" s="6">
        <f>+(22284023+77223141+385160196+46392976)/1000000</f>
        <v>531.06033600000001</v>
      </c>
      <c r="N11" s="6">
        <f t="shared" si="1"/>
        <v>1702.495948</v>
      </c>
      <c r="O11" s="43"/>
    </row>
    <row r="12" spans="1:15" ht="18" customHeight="1" x14ac:dyDescent="0.2">
      <c r="A12" s="7" t="s">
        <v>131</v>
      </c>
      <c r="B12" s="33">
        <f>174112465/1000000</f>
        <v>174.11246499999999</v>
      </c>
      <c r="C12" s="6">
        <f>555921492/1000000</f>
        <v>555.92149199999994</v>
      </c>
      <c r="D12" s="6">
        <f>+(570927858-555921492)/1000000</f>
        <v>15.006366</v>
      </c>
      <c r="E12" s="6">
        <f>264740417/1000000</f>
        <v>264.74041699999998</v>
      </c>
      <c r="F12" s="6">
        <f>+(1832734+66405470+124302740)/1000000</f>
        <v>192.540944</v>
      </c>
      <c r="G12" s="6">
        <f>39873367/1000000</f>
        <v>39.873367000000002</v>
      </c>
      <c r="H12" s="6">
        <f t="shared" si="0"/>
        <v>1242.1950509999997</v>
      </c>
      <c r="I12" s="6">
        <f>619692020/1000000</f>
        <v>619.69201999999996</v>
      </c>
      <c r="J12" s="6">
        <f>90750000/1000000</f>
        <v>90.75</v>
      </c>
      <c r="K12" s="6">
        <f>(198038237+68350381)/1000000</f>
        <v>266.38861800000001</v>
      </c>
      <c r="L12" s="6">
        <f>121373222/1000000</f>
        <v>121.373222</v>
      </c>
      <c r="M12" s="6">
        <f>+(4828072+4700000+48487584+1967814+47509467+36498255)/1000000</f>
        <v>143.99119200000001</v>
      </c>
      <c r="N12" s="6">
        <f t="shared" si="1"/>
        <v>1242.1950519999998</v>
      </c>
      <c r="O12" s="43"/>
    </row>
    <row r="13" spans="1:15" ht="18" customHeight="1" x14ac:dyDescent="0.2">
      <c r="A13" s="7" t="s">
        <v>132</v>
      </c>
      <c r="B13" s="33">
        <f>68094283/1000000</f>
        <v>68.094283000000004</v>
      </c>
      <c r="C13" s="6">
        <f>356366225/1000000</f>
        <v>356.36622499999999</v>
      </c>
      <c r="D13" s="6">
        <f>+(71025356+15178351)/1000000</f>
        <v>86.203706999999994</v>
      </c>
      <c r="E13" s="6">
        <f>159257261/1000000</f>
        <v>159.257261</v>
      </c>
      <c r="F13" s="6">
        <f>+(89019261+11060726+167964366+899350+754364)/1000000</f>
        <v>269.69806699999998</v>
      </c>
      <c r="G13" s="6">
        <f>143531556/1000000</f>
        <v>143.53155599999999</v>
      </c>
      <c r="H13" s="6">
        <f t="shared" si="0"/>
        <v>1083.1510989999999</v>
      </c>
      <c r="I13" s="6">
        <f>345579170/1000000</f>
        <v>345.57916999999998</v>
      </c>
      <c r="J13" s="6">
        <f>45375000/1000000</f>
        <v>45.375</v>
      </c>
      <c r="K13" s="6">
        <f>267640822/1000000</f>
        <v>267.64082200000001</v>
      </c>
      <c r="L13" s="6">
        <f>120518992/1000000</f>
        <v>120.518992</v>
      </c>
      <c r="M13" s="6">
        <f>+(2988589+14042772+285967051+1038700)/1000000</f>
        <v>304.03711199999998</v>
      </c>
      <c r="N13" s="6">
        <f t="shared" si="1"/>
        <v>1083.1510960000001</v>
      </c>
      <c r="O13" s="43"/>
    </row>
    <row r="14" spans="1:15" ht="18" customHeight="1" x14ac:dyDescent="0.2">
      <c r="A14" s="7" t="s">
        <v>133</v>
      </c>
      <c r="B14" s="33">
        <f>+(76578148+26130015)/1000000</f>
        <v>102.708163</v>
      </c>
      <c r="C14" s="6">
        <f>311400000/1000000</f>
        <v>311.39999999999998</v>
      </c>
      <c r="D14" s="6">
        <f>+(342218584-311400000)/1000000</f>
        <v>30.818584000000001</v>
      </c>
      <c r="E14" s="6">
        <f>25010970/1000000</f>
        <v>25.01097</v>
      </c>
      <c r="F14" s="6">
        <f>+(1361593+6194197+74466127+275926900)/1000000</f>
        <v>357.94881700000002</v>
      </c>
      <c r="G14" s="6">
        <f>51838407/1000000</f>
        <v>51.838406999999997</v>
      </c>
      <c r="H14" s="6">
        <f t="shared" si="0"/>
        <v>879.72494099999994</v>
      </c>
      <c r="I14" s="6">
        <f>240000000/1000000</f>
        <v>240</v>
      </c>
      <c r="J14" s="6">
        <v>0</v>
      </c>
      <c r="K14" s="6">
        <f>263101198/1000000</f>
        <v>263.10119800000001</v>
      </c>
      <c r="L14" s="6">
        <f>120581415/1000000</f>
        <v>120.58141500000001</v>
      </c>
      <c r="M14" s="6">
        <f>+(13496717+75124182+128537541+38883888)/1000000</f>
        <v>256.042328</v>
      </c>
      <c r="N14" s="6">
        <f t="shared" si="1"/>
        <v>879.72494100000006</v>
      </c>
      <c r="O14" s="43"/>
    </row>
    <row r="15" spans="1:15" ht="18" customHeight="1" x14ac:dyDescent="0.2">
      <c r="A15" s="7" t="s">
        <v>134</v>
      </c>
      <c r="B15" s="33">
        <f>+(25000000+83324583)/1000000</f>
        <v>108.324583</v>
      </c>
      <c r="C15" s="6">
        <f>620003960/1000000</f>
        <v>620.00396000000001</v>
      </c>
      <c r="D15" s="6">
        <f>(692771515-620003960)/1000000</f>
        <v>72.767555000000002</v>
      </c>
      <c r="E15" s="6">
        <f>+(364506166)/1000000</f>
        <v>364.50616600000001</v>
      </c>
      <c r="F15" s="6">
        <f>(383635+5210139+5793134)/1000000</f>
        <v>11.386908</v>
      </c>
      <c r="G15" s="6">
        <f>+(524076506+215225372)/1000000</f>
        <v>739.30187799999999</v>
      </c>
      <c r="H15" s="6">
        <f t="shared" si="0"/>
        <v>1916.29105</v>
      </c>
      <c r="I15" s="6">
        <f>401250000/1000000</f>
        <v>401.25</v>
      </c>
      <c r="J15" s="6">
        <f>18000000/1000000</f>
        <v>18</v>
      </c>
      <c r="K15" s="6">
        <f>(184891097+10000000+20000000+25000000+193136940+93146091)/1000000</f>
        <v>526.174128</v>
      </c>
      <c r="L15" s="6">
        <f>77479409/1000000</f>
        <v>77.479409000000004</v>
      </c>
      <c r="M15" s="6">
        <f>+(151312629+188303733+442900000+110871151)/1000000</f>
        <v>893.38751300000001</v>
      </c>
      <c r="N15" s="6">
        <f t="shared" si="1"/>
        <v>1916.29105</v>
      </c>
      <c r="O15" s="43"/>
    </row>
    <row r="16" spans="1:15" ht="18" customHeight="1" x14ac:dyDescent="0.2">
      <c r="A16" s="7" t="s">
        <v>135</v>
      </c>
      <c r="B16" s="33">
        <f>25000000/1000000</f>
        <v>25</v>
      </c>
      <c r="C16" s="6">
        <f>215400000/1000000</f>
        <v>215.4</v>
      </c>
      <c r="D16" s="6">
        <f>+(12791582+5351117)/1000000</f>
        <v>18.142699</v>
      </c>
      <c r="E16" s="6">
        <f>+(14957071)/1000000</f>
        <v>14.957070999999999</v>
      </c>
      <c r="F16" s="6">
        <f>+(552732+4018036+6908377+128655308+5096233)/1000000</f>
        <v>145.23068599999999</v>
      </c>
      <c r="G16" s="6">
        <f>108133762/1000000</f>
        <v>108.133762</v>
      </c>
      <c r="H16" s="6">
        <f t="shared" si="0"/>
        <v>526.86421800000005</v>
      </c>
      <c r="I16" s="6">
        <f>240000000/1000000</f>
        <v>240</v>
      </c>
      <c r="J16" s="6">
        <v>0</v>
      </c>
      <c r="K16" s="6">
        <f>30564523/1000000</f>
        <v>30.564523000000001</v>
      </c>
      <c r="L16" s="6">
        <f>36046596/1000000</f>
        <v>36.046596000000001</v>
      </c>
      <c r="M16" s="6">
        <f>(217357254+2895846)/1000000</f>
        <v>220.25309999999999</v>
      </c>
      <c r="N16" s="6">
        <f t="shared" si="1"/>
        <v>526.86421900000005</v>
      </c>
      <c r="O16" s="43"/>
    </row>
    <row r="17" spans="1:15" ht="18" customHeight="1" x14ac:dyDescent="0.2">
      <c r="A17" s="7" t="s">
        <v>136</v>
      </c>
      <c r="B17" s="33">
        <f>606755624/1000000</f>
        <v>606.75562400000001</v>
      </c>
      <c r="C17" s="6">
        <f>1130100000/1000000</f>
        <v>1130.0999999999999</v>
      </c>
      <c r="D17" s="6">
        <f>+(1193430075-1130100000)/1000000</f>
        <v>63.330075000000001</v>
      </c>
      <c r="E17" s="6">
        <f>37294749/1000000</f>
        <v>37.294749000000003</v>
      </c>
      <c r="F17" s="6">
        <f>+(16764763+47960491+44280+1218045)/1000000</f>
        <v>65.987578999999997</v>
      </c>
      <c r="G17" s="6">
        <f>248838436/1000000</f>
        <v>248.838436</v>
      </c>
      <c r="H17" s="6">
        <f t="shared" si="0"/>
        <v>2152.3064629999999</v>
      </c>
      <c r="I17" s="6">
        <f>431101440/1000000</f>
        <v>431.10144000000003</v>
      </c>
      <c r="J17" s="6">
        <f>356686881/1000000</f>
        <v>356.68688100000003</v>
      </c>
      <c r="K17" s="6">
        <f>+(463261476+419895350)/1000000</f>
        <v>883.15682600000002</v>
      </c>
      <c r="L17" s="6">
        <f>86182190/1000000</f>
        <v>86.182190000000006</v>
      </c>
      <c r="M17" s="6">
        <f>+(19376383+375802743)/1000000</f>
        <v>395.179126</v>
      </c>
      <c r="N17" s="6">
        <f t="shared" si="1"/>
        <v>2152.3064629999999</v>
      </c>
      <c r="O17" s="43"/>
    </row>
    <row r="18" spans="1:15" ht="18" customHeight="1" x14ac:dyDescent="0.2">
      <c r="A18" s="7" t="s">
        <v>137</v>
      </c>
      <c r="B18" s="33">
        <f>566179090/1000000</f>
        <v>566.17908999999997</v>
      </c>
      <c r="C18" s="6">
        <f>489232337/1000000</f>
        <v>489.23233699999997</v>
      </c>
      <c r="D18" s="6">
        <f>+(609539676-489232337)/1000000</f>
        <v>120.307339</v>
      </c>
      <c r="E18" s="6">
        <f>281621012/1000000</f>
        <v>281.62101200000001</v>
      </c>
      <c r="F18" s="6">
        <f>+(10190258+379595521+334932)/1000000</f>
        <v>390.12071099999997</v>
      </c>
      <c r="G18" s="6">
        <f>634313358/1000000</f>
        <v>634.31335799999999</v>
      </c>
      <c r="H18" s="6">
        <f t="shared" si="0"/>
        <v>2481.7738469999999</v>
      </c>
      <c r="I18" s="6">
        <f>687127220/1000000</f>
        <v>687.12721999999997</v>
      </c>
      <c r="J18" s="6">
        <v>0</v>
      </c>
      <c r="K18" s="6">
        <f>983988987/1000000</f>
        <v>983.98898699999995</v>
      </c>
      <c r="L18" s="6">
        <f>+(183391998+31093792+4876108)/1000000</f>
        <v>219.361898</v>
      </c>
      <c r="M18" s="6">
        <f>+(15058872+256350418+1655000+5990597+236678938+75561917)/1000000</f>
        <v>591.29574200000002</v>
      </c>
      <c r="N18" s="6">
        <f t="shared" si="1"/>
        <v>2481.7738470000004</v>
      </c>
      <c r="O18" s="43"/>
    </row>
    <row r="19" spans="1:15" ht="18" customHeight="1" x14ac:dyDescent="0.2">
      <c r="A19" s="7" t="s">
        <v>138</v>
      </c>
      <c r="B19" s="33">
        <f>65581496/1000000</f>
        <v>65.581496000000001</v>
      </c>
      <c r="C19" s="6">
        <f>491712145/1000000</f>
        <v>491.71214500000002</v>
      </c>
      <c r="D19" s="6">
        <f>+(545463399-491712145)/1000000</f>
        <v>53.751254000000003</v>
      </c>
      <c r="E19" s="6">
        <f>237073108/1000000</f>
        <v>237.07310799999999</v>
      </c>
      <c r="F19" s="6">
        <f>+(17338052+58415707+341111+966615)/1000000</f>
        <v>77.061485000000005</v>
      </c>
      <c r="G19" s="6">
        <f>162067854/1000000</f>
        <v>162.06785400000001</v>
      </c>
      <c r="H19" s="6">
        <f t="shared" si="0"/>
        <v>1087.2473420000001</v>
      </c>
      <c r="I19" s="6">
        <f>391184640/1000000</f>
        <v>391.18464</v>
      </c>
      <c r="J19" s="6">
        <v>0</v>
      </c>
      <c r="K19" s="6">
        <f>+(743012199-391184640)/1000000</f>
        <v>351.82755900000001</v>
      </c>
      <c r="L19" s="6">
        <f>101588723/1000000</f>
        <v>101.588723</v>
      </c>
      <c r="M19" s="6">
        <f>+(3344899+239301521)/1000000</f>
        <v>242.64642000000001</v>
      </c>
      <c r="N19" s="6">
        <f t="shared" si="1"/>
        <v>1087.2473419999999</v>
      </c>
      <c r="O19" s="43"/>
    </row>
    <row r="20" spans="1:15" ht="18" customHeight="1" x14ac:dyDescent="0.2">
      <c r="A20" s="7" t="s">
        <v>139</v>
      </c>
      <c r="B20" s="33">
        <f>60041345/1000000</f>
        <v>60.041345</v>
      </c>
      <c r="C20" s="6">
        <f>113699011/1000000</f>
        <v>113.699011</v>
      </c>
      <c r="D20" s="6">
        <f>+(206415042-113699011)/1000000</f>
        <v>92.716031000000001</v>
      </c>
      <c r="E20" s="6">
        <f>+(476265607)/1000000</f>
        <v>476.26560699999999</v>
      </c>
      <c r="F20" s="6">
        <f>(33190022+479180069+226030+1359681)/1000000</f>
        <v>513.95580199999995</v>
      </c>
      <c r="G20" s="6">
        <f>60916984/1000000</f>
        <v>60.916983999999999</v>
      </c>
      <c r="H20" s="6">
        <f t="shared" si="0"/>
        <v>1317.5947799999999</v>
      </c>
      <c r="I20" s="6">
        <f>613667160/1000000</f>
        <v>613.66715999999997</v>
      </c>
      <c r="J20" s="6">
        <v>0</v>
      </c>
      <c r="K20" s="6">
        <f>92057132/1000000</f>
        <v>92.057131999999996</v>
      </c>
      <c r="L20" s="6">
        <f>97366391/1000000</f>
        <v>97.366390999999993</v>
      </c>
      <c r="M20" s="6">
        <f>514504097/1000000</f>
        <v>514.504097</v>
      </c>
      <c r="N20" s="6">
        <f t="shared" si="1"/>
        <v>1317.5947799999999</v>
      </c>
      <c r="O20" s="43"/>
    </row>
    <row r="21" spans="1:15" ht="18" customHeight="1" x14ac:dyDescent="0.2">
      <c r="A21" s="7" t="s">
        <v>140</v>
      </c>
      <c r="B21" s="33">
        <f>4210106520/1000000</f>
        <v>4210.1065200000003</v>
      </c>
      <c r="C21" s="6">
        <f>948031014/1000000</f>
        <v>948.03101400000003</v>
      </c>
      <c r="D21" s="6">
        <f>+(32029508+3296277)/1000000</f>
        <v>35.325785000000003</v>
      </c>
      <c r="E21" s="6">
        <f>565524814/1000000</f>
        <v>565.52481399999999</v>
      </c>
      <c r="F21" s="6">
        <f>+(146797559+1756205360+1990974)/1000000</f>
        <v>1904.9938930000001</v>
      </c>
      <c r="G21" s="6">
        <f>+(859974010+1319895846)/1000000</f>
        <v>2179.8698559999998</v>
      </c>
      <c r="H21" s="6">
        <f t="shared" si="0"/>
        <v>9843.8518820000008</v>
      </c>
      <c r="I21" s="6">
        <f>806911870/1000000</f>
        <v>806.91187000000002</v>
      </c>
      <c r="J21" s="6">
        <f>195113205/1000000</f>
        <v>195.11320499999999</v>
      </c>
      <c r="K21" s="6">
        <f>5203881042/1000000</f>
        <v>5203.881042</v>
      </c>
      <c r="L21" s="6">
        <f>617680532/1000000</f>
        <v>617.68053199999997</v>
      </c>
      <c r="M21" s="6">
        <f>(2708216486+206289188+105759559)/1000000</f>
        <v>3020.2652330000001</v>
      </c>
      <c r="N21" s="6">
        <f t="shared" si="1"/>
        <v>9843.8518820000008</v>
      </c>
      <c r="O21" s="43"/>
    </row>
    <row r="22" spans="1:15" ht="18" customHeight="1" x14ac:dyDescent="0.2">
      <c r="A22" s="7" t="s">
        <v>141</v>
      </c>
      <c r="B22" s="33">
        <f>+(25000000+38206382)/1000000</f>
        <v>63.206381999999998</v>
      </c>
      <c r="C22" s="6">
        <f>206550000/1000000</f>
        <v>206.55</v>
      </c>
      <c r="D22" s="6">
        <f>+(6314721+16507847)/1000000</f>
        <v>22.822568</v>
      </c>
      <c r="E22" s="6">
        <f>+(234336709)/1000000</f>
        <v>234.33670900000001</v>
      </c>
      <c r="F22" s="6">
        <f>+(1088866+853996+1391962+113419916+15739500)/1000000</f>
        <v>132.49423999999999</v>
      </c>
      <c r="G22" s="6">
        <f>56026154/1000000</f>
        <v>56.026153999999998</v>
      </c>
      <c r="H22" s="6">
        <f t="shared" si="0"/>
        <v>715.43605300000002</v>
      </c>
      <c r="I22" s="6">
        <f>350301380/1000000</f>
        <v>350.30137999999999</v>
      </c>
      <c r="J22" s="6">
        <v>0</v>
      </c>
      <c r="K22" s="6">
        <f>67137972/1000000</f>
        <v>67.137972000000005</v>
      </c>
      <c r="L22" s="6">
        <f>44045590/1000000</f>
        <v>44.045589999999997</v>
      </c>
      <c r="M22" s="6">
        <f>+(1300657+89184641+163465813)/1000000</f>
        <v>253.951111</v>
      </c>
      <c r="N22" s="6">
        <f t="shared" si="1"/>
        <v>715.43605300000002</v>
      </c>
      <c r="O22" s="43"/>
    </row>
    <row r="23" spans="1:15" ht="18" customHeight="1" x14ac:dyDescent="0.2">
      <c r="A23" s="7" t="s">
        <v>142</v>
      </c>
      <c r="B23" s="33">
        <f>29869866/1000000</f>
        <v>29.869865999999998</v>
      </c>
      <c r="C23" s="6">
        <f>374900000/1000000</f>
        <v>374.9</v>
      </c>
      <c r="D23" s="6">
        <f>+(498909373-374900000)/1000000</f>
        <v>124.009373</v>
      </c>
      <c r="E23" s="6">
        <f>16680130/1000000</f>
        <v>16.680129999999998</v>
      </c>
      <c r="F23" s="6">
        <f>+(11525072+70968781+485000+768928+953922)/1000000</f>
        <v>84.701702999999995</v>
      </c>
      <c r="G23" s="6">
        <f>+(51579442+3400000+276806000)/1000000</f>
        <v>331.78544199999999</v>
      </c>
      <c r="H23" s="6">
        <f t="shared" si="0"/>
        <v>961.94651399999987</v>
      </c>
      <c r="I23" s="6">
        <f>339436944/1000000</f>
        <v>339.43694399999998</v>
      </c>
      <c r="J23" s="6">
        <v>0</v>
      </c>
      <c r="K23" s="6">
        <f>129319812/1000000</f>
        <v>129.31981200000001</v>
      </c>
      <c r="L23" s="6">
        <f>107609232/1000000</f>
        <v>107.60923200000001</v>
      </c>
      <c r="M23" s="6">
        <f>+(5294035+380286491)/1000000</f>
        <v>385.58052600000002</v>
      </c>
      <c r="N23" s="6">
        <f t="shared" si="1"/>
        <v>961.94651399999998</v>
      </c>
      <c r="O23" s="43"/>
    </row>
    <row r="24" spans="1:15" ht="18" customHeight="1" x14ac:dyDescent="0.2">
      <c r="A24" s="7" t="s">
        <v>143</v>
      </c>
      <c r="B24" s="33">
        <f>+(25000000+115809462)/1000000</f>
        <v>140.809462</v>
      </c>
      <c r="C24" s="6">
        <f>312500000/1000000</f>
        <v>312.5</v>
      </c>
      <c r="D24" s="6">
        <f>+(393814695-312500000)/1000000</f>
        <v>81.314695</v>
      </c>
      <c r="E24" s="6">
        <f>144635455/1000000</f>
        <v>144.63545500000001</v>
      </c>
      <c r="F24" s="6">
        <f>+(24802500+865350+109451)/1000000</f>
        <v>25.777301000000001</v>
      </c>
      <c r="G24" s="6">
        <f>174755477/1000000</f>
        <v>174.75547700000001</v>
      </c>
      <c r="H24" s="6">
        <f t="shared" si="0"/>
        <v>879.79238999999995</v>
      </c>
      <c r="I24" s="6">
        <f>268240800/1000000</f>
        <v>268.24079999999998</v>
      </c>
      <c r="J24" s="6">
        <v>0</v>
      </c>
      <c r="K24" s="6">
        <f>+(173759423+93854130+4544401)/1000000</f>
        <v>272.15795400000002</v>
      </c>
      <c r="L24" s="6">
        <f>96259713/1000000</f>
        <v>96.259713000000005</v>
      </c>
      <c r="M24" s="6">
        <f>+(5116013+35218167+71654747+126375996+4769000)/1000000</f>
        <v>243.13392300000001</v>
      </c>
      <c r="N24" s="6">
        <f t="shared" si="1"/>
        <v>879.79239000000007</v>
      </c>
      <c r="O24" s="43"/>
    </row>
    <row r="25" spans="1:15" ht="18" customHeight="1" x14ac:dyDescent="0.2">
      <c r="A25" s="7" t="s">
        <v>144</v>
      </c>
      <c r="B25" s="33">
        <f>25420945/1000000</f>
        <v>25.420945</v>
      </c>
      <c r="C25" s="6">
        <f>261352247/1000000</f>
        <v>261.35224699999998</v>
      </c>
      <c r="D25" s="6">
        <f>+(12988887+24191537)/1000000</f>
        <v>37.180424000000002</v>
      </c>
      <c r="E25" s="6">
        <f>124308298/1000000</f>
        <v>124.30829799999999</v>
      </c>
      <c r="F25" s="6">
        <f>+(17277058+288926462+380691+169897)/1000000</f>
        <v>306.75410799999997</v>
      </c>
      <c r="G25" s="6">
        <f>138719862/1000000</f>
        <v>138.71986200000001</v>
      </c>
      <c r="H25" s="6">
        <f t="shared" si="0"/>
        <v>893.73588400000006</v>
      </c>
      <c r="I25" s="6">
        <f>383526730/1000000</f>
        <v>383.52672999999999</v>
      </c>
      <c r="J25" s="6">
        <f>55964550/1000000</f>
        <v>55.964550000000003</v>
      </c>
      <c r="K25" s="6">
        <f>93413021/1000000</f>
        <v>93.413021000000001</v>
      </c>
      <c r="L25" s="6">
        <f>75686891/1000000</f>
        <v>75.686891000000003</v>
      </c>
      <c r="M25" s="6">
        <f>+(277448858+7695834)/1000000</f>
        <v>285.14469200000002</v>
      </c>
      <c r="N25" s="6">
        <f t="shared" si="1"/>
        <v>893.73588399999994</v>
      </c>
      <c r="O25" s="43"/>
    </row>
    <row r="26" spans="1:15" ht="18" customHeight="1" x14ac:dyDescent="0.2">
      <c r="A26" s="7" t="s">
        <v>145</v>
      </c>
      <c r="B26" s="33">
        <f>+(25000000+116614944)/1000000</f>
        <v>141.61494400000001</v>
      </c>
      <c r="C26" s="6">
        <f>585415824/1000000</f>
        <v>585.41582400000004</v>
      </c>
      <c r="D26" s="6">
        <f>+(643781029-585415824)/1000000</f>
        <v>58.365205000000003</v>
      </c>
      <c r="E26" s="6">
        <f>304064331/1000000</f>
        <v>304.06433099999998</v>
      </c>
      <c r="F26" s="6">
        <f>+(525500+828850+132136644)/1000000</f>
        <v>133.490994</v>
      </c>
      <c r="G26" s="6">
        <f>84608071/1000000</f>
        <v>84.608070999999995</v>
      </c>
      <c r="H26" s="6">
        <f t="shared" si="0"/>
        <v>1307.5593690000001</v>
      </c>
      <c r="I26" s="6">
        <f>407039590/1000000</f>
        <v>407.03958999999998</v>
      </c>
      <c r="J26" s="6">
        <f>114647103/1000000</f>
        <v>114.647103</v>
      </c>
      <c r="K26" s="6">
        <f>+(194671713+46070850)/1000000</f>
        <v>240.74256299999999</v>
      </c>
      <c r="L26" s="6">
        <f>62714213/1000000</f>
        <v>62.714213000000001</v>
      </c>
      <c r="M26" s="6">
        <f>+(53954954+14042620+62039677+42431231+50702262+259245156)/1000000</f>
        <v>482.41590000000002</v>
      </c>
      <c r="N26" s="6">
        <f t="shared" si="1"/>
        <v>1307.5593690000001</v>
      </c>
      <c r="O26" s="43"/>
    </row>
    <row r="27" spans="1:15" ht="18" customHeight="1" x14ac:dyDescent="0.2">
      <c r="A27" s="7" t="s">
        <v>146</v>
      </c>
      <c r="B27" s="33">
        <f>+(25000000+3890174)/1000000</f>
        <v>28.890173999999998</v>
      </c>
      <c r="C27" s="6">
        <f>188750000/1000000</f>
        <v>188.75</v>
      </c>
      <c r="D27" s="6">
        <f>54627232/1000000</f>
        <v>54.627231999999999</v>
      </c>
      <c r="E27" s="6">
        <f>(107740732)/1000000</f>
        <v>107.74073199999999</v>
      </c>
      <c r="F27" s="6">
        <f>(2506931+4313287+73985366+558)/1000000</f>
        <v>80.806141999999994</v>
      </c>
      <c r="G27" s="6">
        <f>217857837/1000000</f>
        <v>217.85783699999999</v>
      </c>
      <c r="H27" s="6">
        <f t="shared" si="0"/>
        <v>678.67211699999996</v>
      </c>
      <c r="I27" s="6">
        <f>69000000/1000000</f>
        <v>69</v>
      </c>
      <c r="J27" s="6">
        <v>0</v>
      </c>
      <c r="K27" s="6">
        <f>94357702/1000000</f>
        <v>94.357702000000003</v>
      </c>
      <c r="L27" s="6">
        <f>96142467/1000000</f>
        <v>96.142466999999996</v>
      </c>
      <c r="M27" s="6">
        <f>+(16189622+402982326)/1000000</f>
        <v>419.17194799999999</v>
      </c>
      <c r="N27" s="6">
        <f t="shared" si="1"/>
        <v>678.67211700000007</v>
      </c>
      <c r="O27" s="43"/>
    </row>
    <row r="28" spans="1:15" ht="18" customHeight="1" x14ac:dyDescent="0.2">
      <c r="A28" s="7" t="s">
        <v>147</v>
      </c>
      <c r="B28" s="33">
        <f>+(25000000+87194618)/1000000</f>
        <v>112.19461800000001</v>
      </c>
      <c r="C28" s="6">
        <f>885416813/1000000</f>
        <v>885.41681300000005</v>
      </c>
      <c r="D28" s="6">
        <f>+(938771290-885416813)/1000000</f>
        <v>53.354477000000003</v>
      </c>
      <c r="E28" s="6">
        <f>+(3770329)/1000000</f>
        <v>3.7703289999999998</v>
      </c>
      <c r="F28" s="6">
        <f>(1596383+4630570+183341421+100179+100233519)/1000000</f>
        <v>289.90207199999998</v>
      </c>
      <c r="G28" s="6">
        <f>35622050/1000000</f>
        <v>35.622050000000002</v>
      </c>
      <c r="H28" s="6">
        <f t="shared" si="0"/>
        <v>1380.2603589999999</v>
      </c>
      <c r="I28" s="6">
        <f>430953600/1000000</f>
        <v>430.95359999999999</v>
      </c>
      <c r="J28" s="6">
        <f>74814125/1000000</f>
        <v>74.814125000000004</v>
      </c>
      <c r="K28" s="6">
        <f>272672438/1000000</f>
        <v>272.672438</v>
      </c>
      <c r="L28" s="6">
        <f>102027395/1000000</f>
        <v>102.027395</v>
      </c>
      <c r="M28" s="6">
        <f>499792801/1000000</f>
        <v>499.792801</v>
      </c>
      <c r="N28" s="6">
        <f t="shared" si="1"/>
        <v>1380.2603589999999</v>
      </c>
      <c r="O28" s="43"/>
    </row>
    <row r="29" spans="1:15" ht="18" customHeight="1" x14ac:dyDescent="0.2">
      <c r="A29" s="9" t="s">
        <v>148</v>
      </c>
      <c r="B29" s="33">
        <f>85050194/1000000</f>
        <v>85.050194000000005</v>
      </c>
      <c r="C29" s="6">
        <f>206212116/1000000</f>
        <v>206.21211600000001</v>
      </c>
      <c r="D29" s="6">
        <f>+(79448742+5148396)/1000000</f>
        <v>84.597138000000001</v>
      </c>
      <c r="E29" s="6">
        <f>+(213337014)/1000000</f>
        <v>213.33701400000001</v>
      </c>
      <c r="F29" s="6">
        <f>+(266554+705850+420602+8257787+362829068)/1000000</f>
        <v>372.47986100000003</v>
      </c>
      <c r="G29" s="6">
        <f>+(320335579+277392)/1000000</f>
        <v>320.61297100000002</v>
      </c>
      <c r="H29" s="6">
        <f t="shared" si="0"/>
        <v>1282.2892940000002</v>
      </c>
      <c r="I29" s="6">
        <f>426596110/1000000</f>
        <v>426.59611000000001</v>
      </c>
      <c r="J29" s="6">
        <v>0</v>
      </c>
      <c r="K29" s="6">
        <f>424768175/1000000</f>
        <v>424.76817499999999</v>
      </c>
      <c r="L29" s="6">
        <f>98927542/1000000</f>
        <v>98.927542000000003</v>
      </c>
      <c r="M29" s="6">
        <f>+(8075860+323918607)/1000000</f>
        <v>331.99446699999999</v>
      </c>
      <c r="N29" s="6">
        <f t="shared" si="1"/>
        <v>1282.286294</v>
      </c>
      <c r="O29" s="43"/>
    </row>
    <row r="30" spans="1:15" ht="18" customHeight="1" x14ac:dyDescent="0.2">
      <c r="A30" s="7" t="s">
        <v>149</v>
      </c>
      <c r="B30" s="33">
        <f>29265596/1000000</f>
        <v>29.265595999999999</v>
      </c>
      <c r="C30" s="6">
        <f>635000000/1000000</f>
        <v>635</v>
      </c>
      <c r="D30" s="6">
        <f>+(668465019-635000000)/1000000</f>
        <v>33.465018999999998</v>
      </c>
      <c r="E30" s="6">
        <f>240251109/1000000</f>
        <v>240.25110900000001</v>
      </c>
      <c r="F30" s="6">
        <f>+(1888950+114880350+19221441+58733489)/1000000</f>
        <v>194.72423000000001</v>
      </c>
      <c r="G30" s="6">
        <f>295370641/1000000</f>
        <v>295.37064099999998</v>
      </c>
      <c r="H30" s="6">
        <f t="shared" si="0"/>
        <v>1428.076595</v>
      </c>
      <c r="I30" s="6">
        <f>352698590/1000000</f>
        <v>352.69859000000002</v>
      </c>
      <c r="J30" s="6">
        <v>0</v>
      </c>
      <c r="K30" s="6">
        <f>500019737/1000000</f>
        <v>500.01973700000002</v>
      </c>
      <c r="L30" s="6">
        <f>219655329/1000000</f>
        <v>219.65532899999999</v>
      </c>
      <c r="M30" s="6">
        <f>+(23314239+36224878+54924112+233600879+7638831)/1000000</f>
        <v>355.70293900000001</v>
      </c>
      <c r="N30" s="6">
        <f t="shared" si="1"/>
        <v>1428.076595</v>
      </c>
      <c r="O30" s="43"/>
    </row>
    <row r="31" spans="1:15" ht="18" customHeight="1" x14ac:dyDescent="0.2">
      <c r="A31" s="7" t="s">
        <v>150</v>
      </c>
      <c r="B31" s="33">
        <f>62180835/1000000</f>
        <v>62.180835000000002</v>
      </c>
      <c r="C31" s="6">
        <f>955180500/1000000</f>
        <v>955.18050000000005</v>
      </c>
      <c r="D31" s="6">
        <f>+(117482032+17000+1711359)/1000000</f>
        <v>119.210391</v>
      </c>
      <c r="E31" s="6">
        <f>432543588/1000000</f>
        <v>432.543588</v>
      </c>
      <c r="F31" s="6">
        <f>+(249906+901729+26132019)/1000000</f>
        <v>27.283653999999999</v>
      </c>
      <c r="G31" s="6">
        <f>452970909/1000000</f>
        <v>452.97090900000001</v>
      </c>
      <c r="H31" s="6">
        <f t="shared" si="0"/>
        <v>2049.3698770000001</v>
      </c>
      <c r="I31" s="6">
        <f>462000000/1000000</f>
        <v>462</v>
      </c>
      <c r="J31" s="6">
        <f>200000000/1000000</f>
        <v>200</v>
      </c>
      <c r="K31" s="6">
        <f>507473776/1000000</f>
        <v>507.47377599999999</v>
      </c>
      <c r="L31" s="6">
        <f>204810700/1000000</f>
        <v>204.8107</v>
      </c>
      <c r="M31" s="6">
        <f>+(6877117+668208284)/1000000</f>
        <v>675.08540100000005</v>
      </c>
      <c r="N31" s="6">
        <f t="shared" si="1"/>
        <v>2049.3698770000001</v>
      </c>
      <c r="O31" s="43"/>
    </row>
    <row r="32" spans="1:15" ht="18" customHeight="1" x14ac:dyDescent="0.2">
      <c r="A32" s="7" t="s">
        <v>151</v>
      </c>
      <c r="B32" s="33">
        <f>(416658212+167428506)/1000000</f>
        <v>584.08671800000002</v>
      </c>
      <c r="C32" s="6">
        <f>434676850/1000000</f>
        <v>434.67685</v>
      </c>
      <c r="D32" s="6">
        <f>(586918464-434676850)/1000000</f>
        <v>152.241614</v>
      </c>
      <c r="E32" s="6">
        <f>80287703/1000000</f>
        <v>80.287702999999993</v>
      </c>
      <c r="F32" s="6">
        <f>+(452169839+576426+14393736+289643031+1538733)/1000000</f>
        <v>758.32176500000003</v>
      </c>
      <c r="G32" s="6">
        <f>+(887115023+4130090+73736050+1302008743+33982698)/1000000</f>
        <v>2300.972604</v>
      </c>
      <c r="H32" s="6">
        <f t="shared" si="0"/>
        <v>4310.587254</v>
      </c>
      <c r="I32" s="6">
        <f>583803550/1000000</f>
        <v>583.80354999999997</v>
      </c>
      <c r="J32" s="6">
        <v>0</v>
      </c>
      <c r="K32" s="6">
        <f>2600169569/1000000</f>
        <v>2600.1695690000001</v>
      </c>
      <c r="L32" s="6">
        <f>363221915/1000000</f>
        <v>363.22191500000002</v>
      </c>
      <c r="M32" s="6">
        <f>+(4664409+66423463+136042270+124667628+414254453+17340000)/1000000</f>
        <v>763.39222299999994</v>
      </c>
      <c r="N32" s="6">
        <f t="shared" si="1"/>
        <v>4310.5872570000001</v>
      </c>
      <c r="O32" s="43"/>
    </row>
    <row r="33" spans="1:15" ht="18" customHeight="1" x14ac:dyDescent="0.2">
      <c r="A33" s="7" t="s">
        <v>152</v>
      </c>
      <c r="B33" s="33">
        <f>898539681/1000000</f>
        <v>898.53968099999997</v>
      </c>
      <c r="C33" s="6">
        <f>253693541/1000000</f>
        <v>253.69354100000001</v>
      </c>
      <c r="D33" s="6">
        <f>+(465921658-253693541)/1000000</f>
        <v>212.228117</v>
      </c>
      <c r="E33" s="6">
        <f>424340660/1000000</f>
        <v>424.34066000000001</v>
      </c>
      <c r="F33" s="6">
        <f>+(1147253+260952287+1512500)/1000000</f>
        <v>263.61203999999998</v>
      </c>
      <c r="G33" s="6">
        <f>312388754/1000000</f>
        <v>312.38875400000001</v>
      </c>
      <c r="H33" s="6">
        <f t="shared" si="0"/>
        <v>2364.8027930000003</v>
      </c>
      <c r="I33" s="6">
        <f>403415720/1000000</f>
        <v>403.41572000000002</v>
      </c>
      <c r="J33" s="6">
        <f>897121/1000000</f>
        <v>0.89712099999999995</v>
      </c>
      <c r="K33" s="6">
        <f>1303674237/1000000</f>
        <v>1303.6742369999999</v>
      </c>
      <c r="L33" s="6">
        <f>182412044/1000000</f>
        <v>182.41204400000001</v>
      </c>
      <c r="M33" s="6">
        <f>+(656815715-182413044)/1000000</f>
        <v>474.402671</v>
      </c>
      <c r="N33" s="6">
        <f t="shared" si="1"/>
        <v>2364.8017930000001</v>
      </c>
      <c r="O33" s="43"/>
    </row>
    <row r="34" spans="1:15" ht="18" customHeight="1" x14ac:dyDescent="0.2">
      <c r="A34" s="7" t="s">
        <v>153</v>
      </c>
      <c r="B34" s="33">
        <f>114267386/1000000</f>
        <v>114.267386</v>
      </c>
      <c r="C34" s="6">
        <f>528500000/1000000</f>
        <v>528.5</v>
      </c>
      <c r="D34" s="6">
        <f>+(3640778+1200714)/1000000</f>
        <v>4.8414919999999997</v>
      </c>
      <c r="E34" s="6">
        <v>0</v>
      </c>
      <c r="F34" s="6">
        <f>+(147260+50400+30362631+55521121+98169801+70115966+2158968)/1000000</f>
        <v>256.52614699999998</v>
      </c>
      <c r="G34" s="6">
        <f>61531151/1000000</f>
        <v>61.531151000000001</v>
      </c>
      <c r="H34" s="6">
        <f t="shared" si="0"/>
        <v>965.66617600000006</v>
      </c>
      <c r="I34" s="6">
        <f>493795880/1000000</f>
        <v>493.79588000000001</v>
      </c>
      <c r="J34" s="6">
        <v>0</v>
      </c>
      <c r="K34" s="6">
        <f>16276787/1000000</f>
        <v>16.276786999999999</v>
      </c>
      <c r="L34" s="6">
        <f>7655657/1000000</f>
        <v>7.6556569999999997</v>
      </c>
      <c r="M34" s="6">
        <f>+(61513175+336061+49081702+72554507+11964410+11319731+1524470+90918338+148725458)/1000000</f>
        <v>447.93785200000002</v>
      </c>
      <c r="N34" s="6">
        <f t="shared" si="1"/>
        <v>965.66617600000006</v>
      </c>
      <c r="O34" s="43"/>
    </row>
    <row r="35" spans="1:15" ht="18" customHeight="1" x14ac:dyDescent="0.2">
      <c r="A35" s="7" t="s">
        <v>154</v>
      </c>
      <c r="B35" s="33">
        <f>40543284/1000000</f>
        <v>40.543284</v>
      </c>
      <c r="C35" s="6">
        <f>326404241/1000000</f>
        <v>326.40424100000001</v>
      </c>
      <c r="D35" s="6">
        <f>+(395022240-326404241)/1000000</f>
        <v>68.617998999999998</v>
      </c>
      <c r="E35" s="6">
        <f>171946994/1000000</f>
        <v>171.94699399999999</v>
      </c>
      <c r="F35" s="6">
        <f>+(7622441+259929663+350182+1019292)/1000000</f>
        <v>268.92157800000001</v>
      </c>
      <c r="G35" s="6">
        <f>143277697/1000000</f>
        <v>143.27769699999999</v>
      </c>
      <c r="H35" s="6">
        <f t="shared" si="0"/>
        <v>1019.7117929999999</v>
      </c>
      <c r="I35" s="6">
        <f>297025040/1000000</f>
        <v>297.02503999999999</v>
      </c>
      <c r="J35" s="6">
        <v>0</v>
      </c>
      <c r="K35" s="6">
        <f>203243718/1000000</f>
        <v>203.243718</v>
      </c>
      <c r="L35" s="6">
        <f>156359564/1000000</f>
        <v>156.35956400000001</v>
      </c>
      <c r="M35" s="6">
        <f>+(30210711+332872760)/1000000</f>
        <v>363.08347099999997</v>
      </c>
      <c r="N35" s="6">
        <f t="shared" si="1"/>
        <v>1019.7117929999999</v>
      </c>
      <c r="O35" s="43"/>
    </row>
    <row r="36" spans="1:15" ht="18" customHeight="1" x14ac:dyDescent="0.2">
      <c r="A36" s="7" t="s">
        <v>155</v>
      </c>
      <c r="B36" s="33">
        <f>(9000000+128962621)/1000000</f>
        <v>137.96262100000001</v>
      </c>
      <c r="C36" s="6">
        <f>164944478/1000000</f>
        <v>164.944478</v>
      </c>
      <c r="D36" s="6">
        <f>+(3944989+45580038)/1000000</f>
        <v>49.525027000000001</v>
      </c>
      <c r="E36" s="6">
        <f>+(377967471)/1000000</f>
        <v>377.96747099999999</v>
      </c>
      <c r="F36" s="6">
        <f>+(3753670+1044182+8020079+8583666+259129285)/1000000</f>
        <v>280.53088200000002</v>
      </c>
      <c r="G36" s="6">
        <f>211887457/1000000</f>
        <v>211.88745700000001</v>
      </c>
      <c r="H36" s="6">
        <f t="shared" si="0"/>
        <v>1222.8179360000001</v>
      </c>
      <c r="I36" s="6">
        <f>408774980/1000000</f>
        <v>408.77498000000003</v>
      </c>
      <c r="J36" s="6">
        <v>0</v>
      </c>
      <c r="K36" s="6">
        <f>296829814/1000000</f>
        <v>296.829814</v>
      </c>
      <c r="L36" s="6">
        <f>102098593/1000000</f>
        <v>102.09859299999999</v>
      </c>
      <c r="M36" s="6">
        <f>+(23632146+391482403)/1000000</f>
        <v>415.11454900000001</v>
      </c>
      <c r="N36" s="6">
        <f t="shared" si="1"/>
        <v>1222.8179359999999</v>
      </c>
      <c r="O36" s="43"/>
    </row>
    <row r="37" spans="1:15" ht="18" customHeight="1" x14ac:dyDescent="0.2">
      <c r="A37" s="7" t="s">
        <v>156</v>
      </c>
      <c r="B37" s="33">
        <f>1608710993/1000000</f>
        <v>1608.7109929999999</v>
      </c>
      <c r="C37" s="6">
        <f>814470958/1000000</f>
        <v>814.470958</v>
      </c>
      <c r="D37" s="6">
        <f>+(874964942-814470958)/1000000</f>
        <v>60.493983999999998</v>
      </c>
      <c r="E37" s="6">
        <f>592469097/1000000</f>
        <v>592.46909700000003</v>
      </c>
      <c r="F37" s="6">
        <f>+(10750417+435637439+1892469+4233889)/1000000</f>
        <v>452.51421399999998</v>
      </c>
      <c r="G37" s="6">
        <f>553801423/1000000</f>
        <v>553.801423</v>
      </c>
      <c r="H37" s="6">
        <f t="shared" si="0"/>
        <v>4082.4606690000001</v>
      </c>
      <c r="I37" s="6">
        <f>699806250/1000000</f>
        <v>699.80624999999998</v>
      </c>
      <c r="J37" s="6">
        <f>144000000/1000000</f>
        <v>144</v>
      </c>
      <c r="K37" s="6">
        <f>2075300713/1000000</f>
        <v>2075.3007130000001</v>
      </c>
      <c r="L37" s="6">
        <f>565005072/1000000</f>
        <v>565.00507200000004</v>
      </c>
      <c r="M37" s="6">
        <f>+(71450695+526897939)/1000000</f>
        <v>598.34863399999995</v>
      </c>
      <c r="N37" s="6">
        <f t="shared" si="1"/>
        <v>4082.4606690000001</v>
      </c>
      <c r="O37" s="43"/>
    </row>
    <row r="38" spans="1:15" ht="18" customHeight="1" x14ac:dyDescent="0.2">
      <c r="A38" s="7" t="s">
        <v>157</v>
      </c>
      <c r="B38" s="33">
        <f>32109487/1000000</f>
        <v>32.109487000000001</v>
      </c>
      <c r="C38" s="6">
        <f>284282087/1000000</f>
        <v>284.28208699999999</v>
      </c>
      <c r="D38" s="6">
        <f>+(22630201+112908)/1000000</f>
        <v>22.743109</v>
      </c>
      <c r="E38" s="6">
        <f>+(103250404)/1000000</f>
        <v>103.250404</v>
      </c>
      <c r="F38" s="6">
        <f>+(116004+752656+11674438+67911270)/1000000</f>
        <v>80.454368000000002</v>
      </c>
      <c r="G38" s="6">
        <f>87458584/1000000</f>
        <v>87.458584000000002</v>
      </c>
      <c r="H38" s="6">
        <f t="shared" si="0"/>
        <v>610.29803900000002</v>
      </c>
      <c r="I38" s="6">
        <f>287645130/1000000</f>
        <v>287.64512999999999</v>
      </c>
      <c r="J38" s="6">
        <v>0</v>
      </c>
      <c r="K38" s="6">
        <f>126443575/1000000</f>
        <v>126.443575</v>
      </c>
      <c r="L38" s="6">
        <f>52686205/1000000</f>
        <v>52.686205000000001</v>
      </c>
      <c r="M38" s="6">
        <f>+(7723164+4612731+55030801+67381177+753299+8021956)/1000000</f>
        <v>143.52312800000001</v>
      </c>
      <c r="N38" s="6">
        <f t="shared" si="1"/>
        <v>610.29803800000002</v>
      </c>
      <c r="O38" s="43"/>
    </row>
    <row r="39" spans="1:15" ht="18" customHeight="1" x14ac:dyDescent="0.2">
      <c r="A39" s="7" t="s">
        <v>158</v>
      </c>
      <c r="B39" s="33">
        <f>3246257754/1000000</f>
        <v>3246.2577540000002</v>
      </c>
      <c r="C39" s="6">
        <f>1942500000/1000000</f>
        <v>1942.5</v>
      </c>
      <c r="D39" s="6">
        <f>+(2010910730-1942500000)/1000000</f>
        <v>68.410730000000001</v>
      </c>
      <c r="E39" s="6">
        <f>1064929304/1000000</f>
        <v>1064.929304</v>
      </c>
      <c r="F39" s="6">
        <f>+(10131098+35772906+65967906+78571956)/1000000</f>
        <v>190.44386600000001</v>
      </c>
      <c r="G39" s="6">
        <f>+(1415096666+303108547)/1000000</f>
        <v>1718.205213</v>
      </c>
      <c r="H39" s="6">
        <f t="shared" si="0"/>
        <v>8230.7468669999998</v>
      </c>
      <c r="I39" s="6">
        <f>869099900/1000000</f>
        <v>869.09990000000005</v>
      </c>
      <c r="J39" s="6">
        <v>0</v>
      </c>
      <c r="K39" s="6">
        <f>4747709878/1000000</f>
        <v>4747.7098779999997</v>
      </c>
      <c r="L39" s="6">
        <f>506752911/1000000</f>
        <v>506.75291099999998</v>
      </c>
      <c r="M39" s="6">
        <f>+(2613937088-506752911)/1000000</f>
        <v>2107.1841770000001</v>
      </c>
      <c r="N39" s="6">
        <f t="shared" si="1"/>
        <v>8230.7468659999995</v>
      </c>
      <c r="O39" s="43"/>
    </row>
    <row r="40" spans="1:15" ht="18" customHeight="1" x14ac:dyDescent="0.2">
      <c r="A40" s="7" t="s">
        <v>159</v>
      </c>
      <c r="B40" s="33">
        <f>133125838/1000000</f>
        <v>133.12583799999999</v>
      </c>
      <c r="C40" s="6">
        <f>899004924/1000000</f>
        <v>899.00492399999996</v>
      </c>
      <c r="D40" s="6">
        <f>+(1034142466-899004924)/1000000</f>
        <v>135.137542</v>
      </c>
      <c r="E40" s="6">
        <f>+(140351091)/1000000</f>
        <v>140.351091</v>
      </c>
      <c r="F40" s="6">
        <f>+(974650+363858411+61876749+22173414+69215023)/1000000</f>
        <v>518.09824700000001</v>
      </c>
      <c r="G40" s="6">
        <f>458687017/1000000</f>
        <v>458.68701700000003</v>
      </c>
      <c r="H40" s="6">
        <f t="shared" si="0"/>
        <v>2284.4046590000003</v>
      </c>
      <c r="I40" s="6">
        <f>663769800/1000000</f>
        <v>663.76980000000003</v>
      </c>
      <c r="J40" s="6">
        <f>212448120/1000000</f>
        <v>212.44811999999999</v>
      </c>
      <c r="K40" s="6">
        <f>+(432373550+249902774+18000000+69722991)/1000000</f>
        <v>769.99931500000002</v>
      </c>
      <c r="L40" s="6">
        <f>207832282/1000000</f>
        <v>207.83228199999999</v>
      </c>
      <c r="M40" s="6">
        <f>+(18997422+60351820+41933692+309072205)/1000000</f>
        <v>430.35513900000001</v>
      </c>
      <c r="N40" s="6">
        <f t="shared" si="1"/>
        <v>2284.4046560000002</v>
      </c>
      <c r="O40" s="43"/>
    </row>
    <row r="41" spans="1:15" ht="18" customHeight="1" x14ac:dyDescent="0.2">
      <c r="A41" s="7" t="s">
        <v>219</v>
      </c>
      <c r="B41" s="33">
        <f>+(25000000+21452074)/1000000</f>
        <v>46.452074000000003</v>
      </c>
      <c r="C41" s="6">
        <f>419824061/1000000</f>
        <v>419.82406099999997</v>
      </c>
      <c r="D41" s="6">
        <f>43435735/1000000</f>
        <v>43.435735000000001</v>
      </c>
      <c r="E41" s="6">
        <f>237525157/1000000</f>
        <v>237.52515700000001</v>
      </c>
      <c r="F41" s="6">
        <f>+(3459948+1161991+207803151+20128674+1646803)/1000000</f>
        <v>234.20056700000001</v>
      </c>
      <c r="G41" s="6">
        <f>24060168/1000000</f>
        <v>24.060168000000001</v>
      </c>
      <c r="H41" s="6">
        <f t="shared" si="0"/>
        <v>1005.497762</v>
      </c>
      <c r="I41" s="6">
        <f>350210360/1000000</f>
        <v>350.21035999999998</v>
      </c>
      <c r="J41" s="6">
        <v>0</v>
      </c>
      <c r="K41" s="6">
        <f>172399340/1000000</f>
        <v>172.39934</v>
      </c>
      <c r="L41" s="6">
        <f>138598668/1000000</f>
        <v>138.598668</v>
      </c>
      <c r="M41" s="6">
        <f>+(20963359+323326035)/1000000</f>
        <v>344.28939400000002</v>
      </c>
      <c r="N41" s="6">
        <f t="shared" si="1"/>
        <v>1005.497762</v>
      </c>
      <c r="O41" s="43"/>
    </row>
    <row r="42" spans="1:15" ht="18" customHeight="1" x14ac:dyDescent="0.2">
      <c r="A42" s="7" t="s">
        <v>160</v>
      </c>
      <c r="B42" s="33">
        <f>86887362/1000000</f>
        <v>86.887361999999996</v>
      </c>
      <c r="C42" s="6">
        <f>702495785/1000000</f>
        <v>702.49578499999996</v>
      </c>
      <c r="D42" s="6">
        <f>(753220424-702495785)/1000000</f>
        <v>50.724639000000003</v>
      </c>
      <c r="E42" s="6">
        <v>0</v>
      </c>
      <c r="F42" s="6">
        <f>+(57303220+27248720+8429094+883861+22405323)/1000000</f>
        <v>116.270218</v>
      </c>
      <c r="G42" s="6">
        <f>24021099/1000000</f>
        <v>24.021099</v>
      </c>
      <c r="H42" s="6">
        <f t="shared" si="0"/>
        <v>980.39910300000008</v>
      </c>
      <c r="I42" s="6">
        <f>357823090/1000000</f>
        <v>357.82308999999998</v>
      </c>
      <c r="J42" s="6">
        <v>0</v>
      </c>
      <c r="K42" s="6">
        <f>261502595/1000000</f>
        <v>261.50259499999999</v>
      </c>
      <c r="L42" s="6">
        <f>80475568/1000000</f>
        <v>80.475567999999996</v>
      </c>
      <c r="M42" s="6">
        <f>+(22564635+176718000+7388391+73097127+829697)/1000000</f>
        <v>280.59784999999999</v>
      </c>
      <c r="N42" s="6">
        <f t="shared" si="1"/>
        <v>980.39910299999997</v>
      </c>
      <c r="O42" s="43"/>
    </row>
    <row r="43" spans="1:15" ht="18" customHeight="1" x14ac:dyDescent="0.2">
      <c r="A43" s="7" t="s">
        <v>161</v>
      </c>
      <c r="B43" s="33">
        <f>25000000/1000000</f>
        <v>25</v>
      </c>
      <c r="C43" s="6">
        <f>109497315/1000000</f>
        <v>109.497315</v>
      </c>
      <c r="D43" s="6">
        <f>+(261521+9213226)/1000000</f>
        <v>9.4747470000000007</v>
      </c>
      <c r="E43" s="6">
        <f>67104327/1000000</f>
        <v>67.104326999999998</v>
      </c>
      <c r="F43" s="6">
        <f>+(93231509-67104327)/1000000</f>
        <v>26.127182000000001</v>
      </c>
      <c r="G43" s="6">
        <f>+(1344117+33240000)/1000000</f>
        <v>34.584116999999999</v>
      </c>
      <c r="H43" s="6">
        <f t="shared" si="0"/>
        <v>271.787688</v>
      </c>
      <c r="I43" s="6">
        <f>60000000/1000000</f>
        <v>60</v>
      </c>
      <c r="J43" s="6">
        <v>0</v>
      </c>
      <c r="K43" s="6">
        <f>122413780/1000000</f>
        <v>122.41378</v>
      </c>
      <c r="L43" s="6">
        <f>8855740/1000000</f>
        <v>8.8557400000000008</v>
      </c>
      <c r="M43" s="6">
        <f>+(7476950+73041218)/1000000</f>
        <v>80.518168000000003</v>
      </c>
      <c r="N43" s="6">
        <f t="shared" si="1"/>
        <v>271.787688</v>
      </c>
      <c r="O43" s="43"/>
    </row>
    <row r="44" spans="1:15" ht="18" customHeight="1" x14ac:dyDescent="0.2">
      <c r="A44" s="7" t="s">
        <v>162</v>
      </c>
      <c r="B44" s="33">
        <f>122426730/1000000</f>
        <v>122.42673000000001</v>
      </c>
      <c r="C44" s="6">
        <f>249513841/1000000</f>
        <v>249.51384100000001</v>
      </c>
      <c r="D44" s="6">
        <f>+(265740756-249513841)/1000000</f>
        <v>16.226915000000002</v>
      </c>
      <c r="E44" s="6">
        <f>+(292911000)/1000000</f>
        <v>292.911</v>
      </c>
      <c r="F44" s="6">
        <f>(1518488+7283949+46442907)/1000000</f>
        <v>55.245344000000003</v>
      </c>
      <c r="G44" s="6">
        <f>63882371/1000000</f>
        <v>63.882370999999999</v>
      </c>
      <c r="H44" s="6">
        <f t="shared" si="0"/>
        <v>800.20620100000019</v>
      </c>
      <c r="I44" s="6">
        <f>343408630/1000000</f>
        <v>343.40863000000002</v>
      </c>
      <c r="J44" s="6">
        <v>0</v>
      </c>
      <c r="K44" s="6">
        <f>241126220/1000000</f>
        <v>241.12621999999999</v>
      </c>
      <c r="L44" s="6">
        <f>120214933/1000000</f>
        <v>120.214933</v>
      </c>
      <c r="M44" s="6">
        <f>+(3325126+92131293)/1000000</f>
        <v>95.456418999999997</v>
      </c>
      <c r="N44" s="6">
        <f t="shared" si="1"/>
        <v>800.20620199999996</v>
      </c>
      <c r="O44" s="43"/>
    </row>
    <row r="45" spans="1:15" ht="18" customHeight="1" x14ac:dyDescent="0.2">
      <c r="A45" s="7" t="s">
        <v>163</v>
      </c>
      <c r="B45" s="33">
        <f>797781671/1000000</f>
        <v>797.78167099999996</v>
      </c>
      <c r="C45" s="6">
        <f>169500000/1000000</f>
        <v>169.5</v>
      </c>
      <c r="D45" s="6">
        <f>+(73579+7878428)/1000000</f>
        <v>7.952007</v>
      </c>
      <c r="E45" s="6">
        <f>+(13001927)/1000000</f>
        <v>13.001927</v>
      </c>
      <c r="F45" s="6">
        <f>+(1166068+1112705+2747423+22095508)/1000000</f>
        <v>27.121704000000001</v>
      </c>
      <c r="G45" s="6">
        <f>25294183/1000000</f>
        <v>25.294183</v>
      </c>
      <c r="H45" s="6">
        <f t="shared" si="0"/>
        <v>1040.651492</v>
      </c>
      <c r="I45" s="6">
        <f>240000000/1000000</f>
        <v>240</v>
      </c>
      <c r="J45" s="6">
        <v>0</v>
      </c>
      <c r="K45" s="6">
        <f>82878410/1000000</f>
        <v>82.878410000000002</v>
      </c>
      <c r="L45" s="6">
        <f>55143391/1000000</f>
        <v>55.143391000000001</v>
      </c>
      <c r="M45" s="6">
        <f>+(1545127+257791+617001803+43824969)/1000000</f>
        <v>662.62968999999998</v>
      </c>
      <c r="N45" s="6">
        <f t="shared" si="1"/>
        <v>1040.6514910000001</v>
      </c>
      <c r="O45" s="43"/>
    </row>
    <row r="46" spans="1:15" ht="18" customHeight="1" x14ac:dyDescent="0.2">
      <c r="A46" s="7" t="s">
        <v>164</v>
      </c>
      <c r="B46" s="33">
        <f>26500000/1000000</f>
        <v>26.5</v>
      </c>
      <c r="C46" s="6">
        <f>360900000/1000000</f>
        <v>360.9</v>
      </c>
      <c r="D46" s="6">
        <f>+(386677267-360900000)/1000000</f>
        <v>25.777266999999998</v>
      </c>
      <c r="E46" s="6">
        <f>13564394/1000000</f>
        <v>13.564394</v>
      </c>
      <c r="F46" s="6">
        <f>+(10940303+895282+8773394+209740+36340)/1000000</f>
        <v>20.855059000000001</v>
      </c>
      <c r="G46" s="6">
        <f>14621804/1000000</f>
        <v>14.621803999999999</v>
      </c>
      <c r="H46" s="6">
        <f t="shared" si="0"/>
        <v>462.21852399999995</v>
      </c>
      <c r="I46" s="6">
        <f>240000000/1000000</f>
        <v>240</v>
      </c>
      <c r="J46" s="6">
        <v>0</v>
      </c>
      <c r="K46" s="6">
        <f>+(56660478+24381945)/1000000</f>
        <v>81.042422999999999</v>
      </c>
      <c r="L46" s="6">
        <f>54779161/1000000</f>
        <v>54.779161000000002</v>
      </c>
      <c r="M46" s="6">
        <f>+(23853687+20406113+10240665+31896475)/1000000</f>
        <v>86.396940000000001</v>
      </c>
      <c r="N46" s="6">
        <f t="shared" si="1"/>
        <v>462.218524</v>
      </c>
      <c r="O46" s="43"/>
    </row>
    <row r="47" spans="1:15" ht="18" customHeight="1" x14ac:dyDescent="0.2">
      <c r="A47" s="7" t="s">
        <v>165</v>
      </c>
      <c r="B47" s="33">
        <f>232375401/1000000</f>
        <v>232.37540100000001</v>
      </c>
      <c r="C47" s="6">
        <f>532850000/1000000</f>
        <v>532.85</v>
      </c>
      <c r="D47" s="6">
        <f>+(580074916-532850000)/1000000</f>
        <v>47.224916</v>
      </c>
      <c r="E47" s="6">
        <f>60600252/1000000</f>
        <v>60.600251999999998</v>
      </c>
      <c r="F47" s="6">
        <f>+(12700374+43259243+480000+899354)/1000000</f>
        <v>57.338971000000001</v>
      </c>
      <c r="G47" s="6">
        <f>20679143/1000000</f>
        <v>20.679143</v>
      </c>
      <c r="H47" s="6">
        <f t="shared" si="0"/>
        <v>951.06868299999996</v>
      </c>
      <c r="I47" s="6">
        <f>379022580/1000000</f>
        <v>379.02258</v>
      </c>
      <c r="J47" s="6">
        <v>0</v>
      </c>
      <c r="K47" s="6">
        <f>283886439/1000000</f>
        <v>283.886439</v>
      </c>
      <c r="L47" s="6">
        <f>83565507/1000000</f>
        <v>83.565506999999997</v>
      </c>
      <c r="M47" s="6">
        <f>+(11485830+193108327)/1000000</f>
        <v>204.594157</v>
      </c>
      <c r="N47" s="6">
        <f t="shared" si="1"/>
        <v>951.06868299999996</v>
      </c>
      <c r="O47" s="43"/>
    </row>
    <row r="48" spans="1:15" ht="18" customHeight="1" x14ac:dyDescent="0.2">
      <c r="A48" s="7" t="s">
        <v>166</v>
      </c>
      <c r="B48" s="33">
        <f>+(25000000+20330357+589141126)/1000000</f>
        <v>634.47148300000003</v>
      </c>
      <c r="C48" s="6">
        <f>399850000/1000000</f>
        <v>399.85</v>
      </c>
      <c r="D48" s="6">
        <f>(1055773+35861519)/1000000</f>
        <v>36.917292000000003</v>
      </c>
      <c r="E48" s="6">
        <f>+(42513183+10317556+198967217+29671511)/1000000</f>
        <v>281.46946700000001</v>
      </c>
      <c r="F48" s="6">
        <f>(3790439+937894)/1000000</f>
        <v>4.7283330000000001</v>
      </c>
      <c r="G48" s="6">
        <f>138712057/1000000</f>
        <v>138.71205699999999</v>
      </c>
      <c r="H48" s="6">
        <f t="shared" si="0"/>
        <v>1496.1486320000001</v>
      </c>
      <c r="I48" s="6">
        <f>420000000/1000000</f>
        <v>420</v>
      </c>
      <c r="J48" s="6">
        <v>0</v>
      </c>
      <c r="K48" s="6">
        <f>+(308688335+91350000+438730804)/1000000</f>
        <v>838.769139</v>
      </c>
      <c r="L48" s="6">
        <f>109448301/1000000</f>
        <v>109.448301</v>
      </c>
      <c r="M48" s="6">
        <f>+(17263393+22661766+26574795+50304568+8545877+2580793)/1000000</f>
        <v>127.931192</v>
      </c>
      <c r="N48" s="6">
        <f t="shared" si="1"/>
        <v>1496.1486319999999</v>
      </c>
      <c r="O48" s="43"/>
    </row>
    <row r="49" spans="1:15" ht="18" customHeight="1" x14ac:dyDescent="0.2">
      <c r="A49" s="7" t="s">
        <v>167</v>
      </c>
      <c r="B49" s="33">
        <f>25000000/1000000</f>
        <v>25</v>
      </c>
      <c r="C49" s="6">
        <f>83398171/1000000</f>
        <v>83.398171000000005</v>
      </c>
      <c r="D49" s="6">
        <f>40343978/1000000</f>
        <v>40.343978</v>
      </c>
      <c r="E49" s="6">
        <f>191617717/1000000</f>
        <v>191.617717</v>
      </c>
      <c r="F49" s="6">
        <f>+(143354304+883467)/1000000</f>
        <v>144.23777100000001</v>
      </c>
      <c r="G49" s="6">
        <f>210265746/1000000</f>
        <v>210.26574600000001</v>
      </c>
      <c r="H49" s="6">
        <f t="shared" si="0"/>
        <v>694.863383</v>
      </c>
      <c r="I49" s="6">
        <f>192406500/1000000</f>
        <v>192.40649999999999</v>
      </c>
      <c r="J49" s="6">
        <v>0</v>
      </c>
      <c r="K49" s="6">
        <f>206624506/1000000</f>
        <v>206.624506</v>
      </c>
      <c r="L49" s="6">
        <f>112692081/1000000</f>
        <v>112.692081</v>
      </c>
      <c r="M49" s="6">
        <f>+(1366588+181773708)/1000000</f>
        <v>183.14029600000001</v>
      </c>
      <c r="N49" s="6">
        <f t="shared" si="1"/>
        <v>694.863383</v>
      </c>
      <c r="O49" s="43"/>
    </row>
    <row r="50" spans="1:15" ht="18" customHeight="1" x14ac:dyDescent="0.2">
      <c r="A50" s="5" t="s">
        <v>92</v>
      </c>
      <c r="B50" s="6">
        <f t="shared" ref="B50:N50" si="2">SUM(B5:B49)</f>
        <v>16676.360815</v>
      </c>
      <c r="C50" s="6">
        <f t="shared" si="2"/>
        <v>21873.680992999998</v>
      </c>
      <c r="D50" s="6">
        <f t="shared" si="2"/>
        <v>2967.1105930000008</v>
      </c>
      <c r="E50" s="6">
        <f t="shared" si="2"/>
        <v>9003.0054300000011</v>
      </c>
      <c r="F50" s="6">
        <f t="shared" si="2"/>
        <v>10655.371811999996</v>
      </c>
      <c r="G50" s="6">
        <f t="shared" si="2"/>
        <v>14132.042337999997</v>
      </c>
      <c r="H50" s="6">
        <f t="shared" si="2"/>
        <v>75307.571981000016</v>
      </c>
      <c r="I50" s="6">
        <f t="shared" si="2"/>
        <v>18194.153034000006</v>
      </c>
      <c r="J50" s="6">
        <f t="shared" si="2"/>
        <v>2028.6768749999999</v>
      </c>
      <c r="K50" s="6">
        <f t="shared" si="2"/>
        <v>27793.758926000006</v>
      </c>
      <c r="L50" s="6">
        <f t="shared" si="2"/>
        <v>6457.0948290000006</v>
      </c>
      <c r="M50" s="6">
        <f t="shared" si="2"/>
        <v>20833.887485999996</v>
      </c>
      <c r="N50" s="6">
        <f t="shared" si="2"/>
        <v>75307.571150000003</v>
      </c>
      <c r="O50" s="43"/>
    </row>
    <row r="51" spans="1:15" ht="18" customHeight="1" x14ac:dyDescent="0.2">
      <c r="A51" s="7" t="s">
        <v>168</v>
      </c>
      <c r="B51" s="33">
        <f>4818679682/1000000</f>
        <v>4818.679682</v>
      </c>
      <c r="C51" s="6">
        <f>9148431000/1000000</f>
        <v>9148.4310000000005</v>
      </c>
      <c r="D51" s="6">
        <f>+(1469263848+409197403+288544)/1000000</f>
        <v>1878.7497949999999</v>
      </c>
      <c r="E51" s="6">
        <f>2289635098/1000000</f>
        <v>2289.6350980000002</v>
      </c>
      <c r="F51" s="6">
        <f>+(319695632+462957143+859966104+8415627166+17875007+2443530+945027+5650201378)/1000000</f>
        <v>15729.710987</v>
      </c>
      <c r="G51" s="6">
        <f>119249667/1000000</f>
        <v>119.249667</v>
      </c>
      <c r="H51" s="6">
        <f>+SUM(B51:G51)</f>
        <v>33984.456228999996</v>
      </c>
      <c r="I51" s="6">
        <f>10000000/1000000</f>
        <v>10</v>
      </c>
      <c r="J51" s="6">
        <v>0</v>
      </c>
      <c r="K51" s="6">
        <f>(14765585691+810900115)/1000000</f>
        <v>15576.485806000001</v>
      </c>
      <c r="L51" s="6">
        <f>2985067162/1000000</f>
        <v>2985.0671619999998</v>
      </c>
      <c r="M51" s="6">
        <f>+(852549911+4425932981+1274508460+8736942454+32969454)/1000000</f>
        <v>15322.903259999999</v>
      </c>
      <c r="N51" s="6">
        <f>+SUM(I51:M51)</f>
        <v>33894.456227999995</v>
      </c>
      <c r="O51" s="43"/>
    </row>
    <row r="52" spans="1:15" ht="18" customHeight="1" x14ac:dyDescent="0.2">
      <c r="A52" s="5" t="s">
        <v>94</v>
      </c>
      <c r="B52" s="6">
        <f>+B50+B51</f>
        <v>21495.040497000002</v>
      </c>
      <c r="C52" s="6">
        <f t="shared" ref="C52:N52" si="3">+C50+C51</f>
        <v>31022.111992999999</v>
      </c>
      <c r="D52" s="6">
        <f t="shared" si="3"/>
        <v>4845.860388000001</v>
      </c>
      <c r="E52" s="6">
        <f t="shared" si="3"/>
        <v>11292.640528000002</v>
      </c>
      <c r="F52" s="6">
        <f t="shared" si="3"/>
        <v>26385.082798999996</v>
      </c>
      <c r="G52" s="6">
        <f t="shared" si="3"/>
        <v>14251.292004999998</v>
      </c>
      <c r="H52" s="6">
        <f t="shared" si="3"/>
        <v>109292.02821000002</v>
      </c>
      <c r="I52" s="6">
        <f t="shared" si="3"/>
        <v>18204.153034000006</v>
      </c>
      <c r="J52" s="6">
        <f t="shared" si="3"/>
        <v>2028.6768749999999</v>
      </c>
      <c r="K52" s="6">
        <f t="shared" si="3"/>
        <v>43370.244732000006</v>
      </c>
      <c r="L52" s="6">
        <f t="shared" si="3"/>
        <v>9442.1619910000009</v>
      </c>
      <c r="M52" s="6">
        <f t="shared" si="3"/>
        <v>36156.790745999999</v>
      </c>
      <c r="N52" s="6">
        <f t="shared" si="3"/>
        <v>109202.027378</v>
      </c>
      <c r="O52" s="43"/>
    </row>
  </sheetData>
  <mergeCells count="4">
    <mergeCell ref="M2:N2"/>
    <mergeCell ref="A3:A4"/>
    <mergeCell ref="B3:H3"/>
    <mergeCell ref="I3:N3"/>
  </mergeCells>
  <pageMargins left="0.7" right="0.7" top="0.75" bottom="0.75" header="0.3" footer="0.3"/>
  <pageSetup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G14" sqref="G14"/>
    </sheetView>
  </sheetViews>
  <sheetFormatPr defaultRowHeight="12.75" x14ac:dyDescent="0.2"/>
  <cols>
    <col min="1" max="1" width="41.140625" style="14" customWidth="1"/>
    <col min="2" max="2" width="9.5703125" style="14" bestFit="1" customWidth="1"/>
    <col min="3" max="3" width="11.140625" style="14" customWidth="1"/>
    <col min="4" max="4" width="10.7109375" style="14" customWidth="1"/>
    <col min="5" max="5" width="9.140625" style="14"/>
    <col min="6" max="6" width="10.140625" style="14" customWidth="1"/>
    <col min="7" max="7" width="9.140625" style="14"/>
    <col min="8" max="8" width="8.140625" style="14" bestFit="1" customWidth="1"/>
    <col min="9" max="9" width="9.140625" style="14"/>
    <col min="10" max="10" width="11.140625" style="14" bestFit="1" customWidth="1"/>
    <col min="11" max="11" width="10.28515625" style="14" customWidth="1"/>
    <col min="12" max="16384" width="9.140625" style="14"/>
  </cols>
  <sheetData>
    <row r="1" spans="1:12" ht="15.75" x14ac:dyDescent="0.2">
      <c r="A1" s="16" t="s">
        <v>227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4.25" x14ac:dyDescent="0.2">
      <c r="A2" s="11"/>
      <c r="J2" s="140" t="s">
        <v>0</v>
      </c>
      <c r="K2" s="140"/>
    </row>
    <row r="3" spans="1:12" ht="20.25" customHeight="1" x14ac:dyDescent="0.2">
      <c r="A3" s="134" t="s">
        <v>61</v>
      </c>
      <c r="B3" s="135" t="s">
        <v>100</v>
      </c>
      <c r="C3" s="135"/>
      <c r="D3" s="135"/>
      <c r="E3" s="135"/>
      <c r="F3" s="135"/>
      <c r="G3" s="135"/>
      <c r="H3" s="135" t="s">
        <v>101</v>
      </c>
      <c r="I3" s="135"/>
      <c r="J3" s="135"/>
      <c r="K3" s="135"/>
    </row>
    <row r="4" spans="1:12" ht="69.75" customHeight="1" x14ac:dyDescent="0.2">
      <c r="A4" s="134"/>
      <c r="B4" s="15" t="s">
        <v>172</v>
      </c>
      <c r="C4" s="15" t="s">
        <v>173</v>
      </c>
      <c r="D4" s="15" t="s">
        <v>58</v>
      </c>
      <c r="E4" s="15" t="s">
        <v>174</v>
      </c>
      <c r="F4" s="15" t="s">
        <v>60</v>
      </c>
      <c r="G4" s="15" t="s">
        <v>102</v>
      </c>
      <c r="H4" s="15" t="s">
        <v>176</v>
      </c>
      <c r="I4" s="15" t="s">
        <v>9</v>
      </c>
      <c r="J4" s="15" t="s">
        <v>177</v>
      </c>
      <c r="K4" s="15" t="s">
        <v>19</v>
      </c>
    </row>
    <row r="5" spans="1:12" ht="18" customHeight="1" x14ac:dyDescent="0.2">
      <c r="A5" s="7" t="s">
        <v>124</v>
      </c>
      <c r="B5" s="6">
        <f>49552353/1000000</f>
        <v>49.552352999999997</v>
      </c>
      <c r="C5" s="6">
        <f>62231938/1000000</f>
        <v>62.231938</v>
      </c>
      <c r="D5" s="6">
        <f>48507758/1000000</f>
        <v>48.507758000000003</v>
      </c>
      <c r="E5" s="6">
        <f>71389632/1000000</f>
        <v>71.389632000000006</v>
      </c>
      <c r="F5" s="6">
        <f>47273671/1000000</f>
        <v>47.273671</v>
      </c>
      <c r="G5" s="6">
        <f>SUM(B5:F5)</f>
        <v>278.955352</v>
      </c>
      <c r="H5" s="6">
        <f>81953884/1000000</f>
        <v>81.953884000000002</v>
      </c>
      <c r="I5" s="6">
        <f>173797356/1000000</f>
        <v>173.79735600000001</v>
      </c>
      <c r="J5" s="6">
        <f>23204112/1000000</f>
        <v>23.204111999999999</v>
      </c>
      <c r="K5" s="6">
        <f>+SUM(H5:J5)</f>
        <v>278.955352</v>
      </c>
      <c r="L5" s="31"/>
    </row>
    <row r="6" spans="1:12" ht="18" customHeight="1" x14ac:dyDescent="0.2">
      <c r="A6" s="7" t="s">
        <v>125</v>
      </c>
      <c r="B6" s="6">
        <f>106676083/1000000</f>
        <v>106.67608300000001</v>
      </c>
      <c r="C6" s="6">
        <f>+(136639890+405018)/1000000</f>
        <v>137.04490799999999</v>
      </c>
      <c r="D6" s="6">
        <f>78955027/1000000</f>
        <v>78.955027000000001</v>
      </c>
      <c r="E6" s="6">
        <f>136838759/1000000</f>
        <v>136.83875900000001</v>
      </c>
      <c r="F6" s="6">
        <f>61562971/1000000</f>
        <v>61.562970999999997</v>
      </c>
      <c r="G6" s="6">
        <f t="shared" ref="G6:G51" si="0">SUM(B6:F6)</f>
        <v>521.07774799999993</v>
      </c>
      <c r="H6" s="6">
        <f>128602168/1000000</f>
        <v>128.60216800000001</v>
      </c>
      <c r="I6" s="6">
        <f>339957045/1000000</f>
        <v>339.95704499999999</v>
      </c>
      <c r="J6" s="6">
        <f>(44917965+7600570)/1000000</f>
        <v>52.518535</v>
      </c>
      <c r="K6" s="6">
        <f t="shared" ref="K6:K49" si="1">+SUM(H6:J6)</f>
        <v>521.07774800000004</v>
      </c>
      <c r="L6" s="31"/>
    </row>
    <row r="7" spans="1:12" ht="18" customHeight="1" x14ac:dyDescent="0.2">
      <c r="A7" s="9" t="s">
        <v>126</v>
      </c>
      <c r="B7" s="6">
        <f>114782464/1000000</f>
        <v>114.782464</v>
      </c>
      <c r="C7" s="6">
        <f>(64302217+262267)/1000000</f>
        <v>64.564483999999993</v>
      </c>
      <c r="D7" s="6">
        <f>69925528/1000000</f>
        <v>69.925528</v>
      </c>
      <c r="E7" s="6">
        <f>113161762/1000000</f>
        <v>113.161762</v>
      </c>
      <c r="F7" s="6">
        <f>40632845/1000000</f>
        <v>40.632845000000003</v>
      </c>
      <c r="G7" s="6">
        <f t="shared" si="0"/>
        <v>403.06708300000003</v>
      </c>
      <c r="H7" s="6">
        <f>84179524/1000000</f>
        <v>84.179524000000001</v>
      </c>
      <c r="I7" s="6">
        <f>279255647/1000000</f>
        <v>279.25564700000001</v>
      </c>
      <c r="J7" s="6">
        <f>+(38737526+894386)/1000000</f>
        <v>39.631912</v>
      </c>
      <c r="K7" s="6">
        <f t="shared" si="1"/>
        <v>403.06708300000003</v>
      </c>
      <c r="L7" s="31"/>
    </row>
    <row r="8" spans="1:12" ht="18" customHeight="1" x14ac:dyDescent="0.2">
      <c r="A8" s="7" t="s">
        <v>127</v>
      </c>
      <c r="B8" s="6">
        <f>131205495/1000000</f>
        <v>131.20549500000001</v>
      </c>
      <c r="C8" s="6">
        <f>235747940/1000000</f>
        <v>235.74794</v>
      </c>
      <c r="D8" s="6">
        <f>102981910/1000000</f>
        <v>102.98191</v>
      </c>
      <c r="E8" s="6">
        <f>181325601/1000000</f>
        <v>181.32560100000001</v>
      </c>
      <c r="F8" s="6">
        <f>17481248/1000000</f>
        <v>17.481248000000001</v>
      </c>
      <c r="G8" s="6">
        <f t="shared" si="0"/>
        <v>668.74219400000004</v>
      </c>
      <c r="H8" s="6">
        <f>153104152/1000000</f>
        <v>153.104152</v>
      </c>
      <c r="I8" s="6">
        <f>455013059/1000000</f>
        <v>455.013059</v>
      </c>
      <c r="J8" s="6">
        <f>60624983/1000000</f>
        <v>60.624983</v>
      </c>
      <c r="K8" s="6">
        <f t="shared" si="1"/>
        <v>668.74219400000004</v>
      </c>
      <c r="L8" s="31"/>
    </row>
    <row r="9" spans="1:12" ht="18" customHeight="1" x14ac:dyDescent="0.2">
      <c r="A9" s="7" t="s">
        <v>128</v>
      </c>
      <c r="B9" s="6">
        <f>1207050/1000000</f>
        <v>1.20705</v>
      </c>
      <c r="C9" s="6">
        <f>(73060293+74656)/1000000</f>
        <v>73.134949000000006</v>
      </c>
      <c r="D9" s="6">
        <f>10273617/1000000</f>
        <v>10.273617</v>
      </c>
      <c r="E9" s="6">
        <f>36994275/1000000</f>
        <v>36.994275000000002</v>
      </c>
      <c r="F9" s="6">
        <f>8198829/1000000</f>
        <v>8.1988289999999999</v>
      </c>
      <c r="G9" s="6">
        <f t="shared" si="0"/>
        <v>129.80871999999999</v>
      </c>
      <c r="H9" s="6">
        <f>31369851/1000000</f>
        <v>31.369851000000001</v>
      </c>
      <c r="I9" s="6">
        <f>92243536/1000000</f>
        <v>92.243536000000006</v>
      </c>
      <c r="J9" s="6">
        <f>6195333/1000000</f>
        <v>6.1953329999999998</v>
      </c>
      <c r="K9" s="6">
        <f t="shared" si="1"/>
        <v>129.80871999999999</v>
      </c>
      <c r="L9" s="31"/>
    </row>
    <row r="10" spans="1:12" ht="18" customHeight="1" x14ac:dyDescent="0.2">
      <c r="A10" s="7" t="s">
        <v>129</v>
      </c>
      <c r="B10" s="6">
        <f>176348971/1000000</f>
        <v>176.34897100000001</v>
      </c>
      <c r="C10" s="6">
        <f>79981947/1000000</f>
        <v>79.981947000000005</v>
      </c>
      <c r="D10" s="6">
        <f>64178331/1000000</f>
        <v>64.178331</v>
      </c>
      <c r="E10" s="6">
        <f>150360197/1000000</f>
        <v>150.360197</v>
      </c>
      <c r="F10" s="6">
        <f>62057405/1000000</f>
        <v>62.057405000000003</v>
      </c>
      <c r="G10" s="6">
        <f>SUM(B10:F10)</f>
        <v>532.92685100000006</v>
      </c>
      <c r="H10" s="6">
        <f>139041662/1000000</f>
        <v>139.041662</v>
      </c>
      <c r="I10" s="6">
        <f>373549333/1000000</f>
        <v>373.54933299999999</v>
      </c>
      <c r="J10" s="6">
        <f>20335858/1000000</f>
        <v>20.335858000000002</v>
      </c>
      <c r="K10" s="6">
        <f t="shared" si="1"/>
        <v>532.92685300000005</v>
      </c>
      <c r="L10" s="31"/>
    </row>
    <row r="11" spans="1:12" ht="18" customHeight="1" x14ac:dyDescent="0.2">
      <c r="A11" s="7" t="s">
        <v>130</v>
      </c>
      <c r="B11" s="6">
        <f>31952291/1000000</f>
        <v>31.952290999999999</v>
      </c>
      <c r="C11" s="6">
        <f>133325529/1000000</f>
        <v>133.32552899999999</v>
      </c>
      <c r="D11" s="6">
        <f>45045282/1000000</f>
        <v>45.045282</v>
      </c>
      <c r="E11" s="6">
        <f>97682447/1000000</f>
        <v>97.682446999999996</v>
      </c>
      <c r="F11" s="6">
        <f>52413670/1000000</f>
        <v>52.413670000000003</v>
      </c>
      <c r="G11" s="6">
        <f t="shared" si="0"/>
        <v>360.419219</v>
      </c>
      <c r="H11" s="6">
        <f>97211979/1000000</f>
        <v>97.211978999999999</v>
      </c>
      <c r="I11" s="6">
        <f>243201331/1000000</f>
        <v>243.20133100000001</v>
      </c>
      <c r="J11" s="6">
        <f>20005909/1000000</f>
        <v>20.005908999999999</v>
      </c>
      <c r="K11" s="6">
        <f t="shared" si="1"/>
        <v>360.419219</v>
      </c>
      <c r="L11" s="31"/>
    </row>
    <row r="12" spans="1:12" ht="18" customHeight="1" x14ac:dyDescent="0.2">
      <c r="A12" s="7" t="s">
        <v>131</v>
      </c>
      <c r="B12" s="6">
        <f>10874443/1000000</f>
        <v>10.874442999999999</v>
      </c>
      <c r="C12" s="6">
        <f>+(222605604+619868)/1000000</f>
        <v>223.225472</v>
      </c>
      <c r="D12" s="6">
        <f>57876966/1000000</f>
        <v>57.876966000000003</v>
      </c>
      <c r="E12" s="6">
        <f>121373222/1000000</f>
        <v>121.373222</v>
      </c>
      <c r="F12" s="6">
        <f>43432010/1000000</f>
        <v>43.432009999999998</v>
      </c>
      <c r="G12" s="6">
        <f t="shared" si="0"/>
        <v>456.78211299999998</v>
      </c>
      <c r="H12" s="6">
        <f>121449827/1000000</f>
        <v>121.449827</v>
      </c>
      <c r="I12" s="6">
        <f>299573845/1000000</f>
        <v>299.57384500000001</v>
      </c>
      <c r="J12" s="6">
        <f>+(30774604+4983839)/1000000</f>
        <v>35.758443</v>
      </c>
      <c r="K12" s="6">
        <f t="shared" si="1"/>
        <v>456.78211500000003</v>
      </c>
      <c r="L12" s="31"/>
    </row>
    <row r="13" spans="1:12" ht="18" customHeight="1" x14ac:dyDescent="0.2">
      <c r="A13" s="7" t="s">
        <v>132</v>
      </c>
      <c r="B13" s="6">
        <f>27297618/1000000</f>
        <v>27.297618</v>
      </c>
      <c r="C13" s="6">
        <f>117870076/1000000</f>
        <v>117.870076</v>
      </c>
      <c r="D13" s="6">
        <f>78024126/1000000</f>
        <v>78.024125999999995</v>
      </c>
      <c r="E13" s="6">
        <f>120518992/1000000</f>
        <v>120.518992</v>
      </c>
      <c r="F13" s="6">
        <f>98064200/1000000</f>
        <v>98.0642</v>
      </c>
      <c r="G13" s="6">
        <f t="shared" si="0"/>
        <v>441.77501199999995</v>
      </c>
      <c r="H13" s="6">
        <f>98674757/1000000</f>
        <v>98.674757</v>
      </c>
      <c r="I13" s="6">
        <f>299192093/1000000</f>
        <v>299.192093</v>
      </c>
      <c r="J13" s="6">
        <f>43908162/1000000</f>
        <v>43.908161999999997</v>
      </c>
      <c r="K13" s="6">
        <f t="shared" si="1"/>
        <v>441.775012</v>
      </c>
      <c r="L13" s="31"/>
    </row>
    <row r="14" spans="1:12" ht="18" customHeight="1" x14ac:dyDescent="0.2">
      <c r="A14" s="7" t="s">
        <v>133</v>
      </c>
      <c r="B14" s="6">
        <f>91180269/1000000</f>
        <v>91.180268999999996</v>
      </c>
      <c r="C14" s="6">
        <f>+(101772281+4433)/1000000</f>
        <v>101.776714</v>
      </c>
      <c r="D14" s="6">
        <f>54066290/1000000</f>
        <v>54.066290000000002</v>
      </c>
      <c r="E14" s="6">
        <f>120581415/1000000</f>
        <v>120.58141500000001</v>
      </c>
      <c r="F14" s="6">
        <f>73221973/1000000</f>
        <v>73.221973000000006</v>
      </c>
      <c r="G14" s="6">
        <f t="shared" si="0"/>
        <v>440.826661</v>
      </c>
      <c r="H14" s="6">
        <f>118233490/1000000</f>
        <v>118.23349</v>
      </c>
      <c r="I14" s="6">
        <f>297512962/1000000</f>
        <v>297.51296200000002</v>
      </c>
      <c r="J14" s="6">
        <f>25080209/1000000</f>
        <v>25.080209</v>
      </c>
      <c r="K14" s="6">
        <f t="shared" si="1"/>
        <v>440.82666100000006</v>
      </c>
      <c r="L14" s="31"/>
    </row>
    <row r="15" spans="1:12" ht="18" customHeight="1" x14ac:dyDescent="0.2">
      <c r="A15" s="7" t="s">
        <v>134</v>
      </c>
      <c r="B15" s="6">
        <f>5287486/1000000</f>
        <v>5.2874860000000004</v>
      </c>
      <c r="C15" s="6">
        <f>99664857/1000000</f>
        <v>99.664856999999998</v>
      </c>
      <c r="D15" s="6">
        <f>37694797/1000000</f>
        <v>37.694797000000001</v>
      </c>
      <c r="E15" s="6">
        <f>77479409/1000000</f>
        <v>77.479409000000004</v>
      </c>
      <c r="F15" s="6">
        <f>71469668/1000000</f>
        <v>71.469667999999999</v>
      </c>
      <c r="G15" s="6">
        <f t="shared" si="0"/>
        <v>291.59621700000002</v>
      </c>
      <c r="H15" s="6">
        <f>68176013/1000000</f>
        <v>68.176012999999998</v>
      </c>
      <c r="I15" s="6">
        <f>193357723/1000000</f>
        <v>193.35772299999999</v>
      </c>
      <c r="J15" s="6">
        <f>30062481/1000000</f>
        <v>30.062480999999998</v>
      </c>
      <c r="K15" s="6">
        <f t="shared" si="1"/>
        <v>291.59621699999997</v>
      </c>
      <c r="L15" s="31"/>
    </row>
    <row r="16" spans="1:12" ht="18" customHeight="1" x14ac:dyDescent="0.2">
      <c r="A16" s="7" t="s">
        <v>135</v>
      </c>
      <c r="B16" s="6">
        <f>19778789/1000000</f>
        <v>19.778789</v>
      </c>
      <c r="C16" s="6">
        <f>34290308/1000000</f>
        <v>34.290308000000003</v>
      </c>
      <c r="D16" s="6">
        <f>16813011/1000000</f>
        <v>16.813010999999999</v>
      </c>
      <c r="E16" s="6">
        <f>36046596/1000000</f>
        <v>36.046596000000001</v>
      </c>
      <c r="F16" s="6">
        <f>49427168/1000000</f>
        <v>49.427168000000002</v>
      </c>
      <c r="G16" s="6">
        <f t="shared" si="0"/>
        <v>156.35587200000001</v>
      </c>
      <c r="H16" s="6">
        <f>32543230/1000000</f>
        <v>32.543230000000001</v>
      </c>
      <c r="I16" s="6">
        <f>89558163/1000000</f>
        <v>89.558162999999993</v>
      </c>
      <c r="J16" s="6">
        <f>(15277862+18981051)/1000000</f>
        <v>34.258913</v>
      </c>
      <c r="K16" s="6">
        <f t="shared" si="1"/>
        <v>156.36030600000001</v>
      </c>
      <c r="L16" s="31"/>
    </row>
    <row r="17" spans="1:12" ht="18" customHeight="1" x14ac:dyDescent="0.2">
      <c r="A17" s="7" t="s">
        <v>136</v>
      </c>
      <c r="B17" s="6">
        <f>43555680/1000000</f>
        <v>43.555680000000002</v>
      </c>
      <c r="C17" s="6">
        <f>+(62266669+526005)/1000000</f>
        <v>62.792673999999998</v>
      </c>
      <c r="D17" s="6">
        <f>55484054/1000000</f>
        <v>55.484054</v>
      </c>
      <c r="E17" s="6">
        <f>86182190/1000000</f>
        <v>86.182190000000006</v>
      </c>
      <c r="F17" s="6">
        <f>75747142/1000000</f>
        <v>75.747141999999997</v>
      </c>
      <c r="G17" s="6">
        <f t="shared" si="0"/>
        <v>323.76173999999997</v>
      </c>
      <c r="H17" s="6">
        <f>84302563/1000000</f>
        <v>84.302563000000006</v>
      </c>
      <c r="I17" s="6">
        <f>210644230/1000000</f>
        <v>210.64422999999999</v>
      </c>
      <c r="J17" s="6">
        <f>28814947/1000000</f>
        <v>28.814947</v>
      </c>
      <c r="K17" s="6">
        <f t="shared" si="1"/>
        <v>323.76174000000003</v>
      </c>
      <c r="L17" s="31"/>
    </row>
    <row r="18" spans="1:12" ht="18" customHeight="1" x14ac:dyDescent="0.2">
      <c r="A18" s="7" t="s">
        <v>137</v>
      </c>
      <c r="B18" s="6">
        <f>81288687/1000000</f>
        <v>81.288686999999996</v>
      </c>
      <c r="C18" s="6">
        <f>175071528/1000000</f>
        <v>175.071528</v>
      </c>
      <c r="D18" s="6">
        <f>146460212/1000000</f>
        <v>146.46021200000001</v>
      </c>
      <c r="E18" s="6">
        <f>183391998/1000000</f>
        <v>183.391998</v>
      </c>
      <c r="F18" s="6">
        <f>69126739/1000000</f>
        <v>69.126739000000001</v>
      </c>
      <c r="G18" s="6">
        <f t="shared" si="0"/>
        <v>655.33916399999998</v>
      </c>
      <c r="H18" s="6">
        <f>142917903/1000000</f>
        <v>142.917903</v>
      </c>
      <c r="I18" s="6">
        <f>457096665/1000000</f>
        <v>457.09666499999997</v>
      </c>
      <c r="J18" s="6">
        <f>55324596/1000000</f>
        <v>55.324596</v>
      </c>
      <c r="K18" s="6">
        <f t="shared" si="1"/>
        <v>655.33916399999998</v>
      </c>
      <c r="L18" s="31"/>
    </row>
    <row r="19" spans="1:12" ht="18" customHeight="1" x14ac:dyDescent="0.2">
      <c r="A19" s="7" t="s">
        <v>138</v>
      </c>
      <c r="B19" s="6">
        <f>18556234/1000000</f>
        <v>18.556234</v>
      </c>
      <c r="C19" s="6">
        <f>170904606/1000000</f>
        <v>170.904606</v>
      </c>
      <c r="D19" s="6">
        <f>56962767/1000000</f>
        <v>56.962766999999999</v>
      </c>
      <c r="E19" s="6">
        <f>101588723/1000000</f>
        <v>101.588723</v>
      </c>
      <c r="F19" s="6">
        <f>41012024/1000000</f>
        <v>41.012023999999997</v>
      </c>
      <c r="G19" s="6">
        <f t="shared" si="0"/>
        <v>389.02435400000002</v>
      </c>
      <c r="H19" s="6">
        <f>98338832/1000000</f>
        <v>98.338831999999996</v>
      </c>
      <c r="I19" s="6">
        <f>252290020/1000000</f>
        <v>252.29002</v>
      </c>
      <c r="J19" s="6">
        <f>38395502/1000000</f>
        <v>38.395502</v>
      </c>
      <c r="K19" s="6">
        <f t="shared" si="1"/>
        <v>389.02435400000002</v>
      </c>
      <c r="L19" s="31"/>
    </row>
    <row r="20" spans="1:12" ht="18" customHeight="1" x14ac:dyDescent="0.2">
      <c r="A20" s="7" t="s">
        <v>139</v>
      </c>
      <c r="B20" s="6">
        <f>-22331012/1000000</f>
        <v>-22.331012000000001</v>
      </c>
      <c r="C20" s="6">
        <f>60826411/1000000</f>
        <v>60.826411</v>
      </c>
      <c r="D20" s="6">
        <f>24767836/1000000</f>
        <v>24.767835999999999</v>
      </c>
      <c r="E20" s="6">
        <f>22442889/1000000</f>
        <v>22.442889000000001</v>
      </c>
      <c r="F20" s="6">
        <f>29972432/1000000</f>
        <v>29.972432000000001</v>
      </c>
      <c r="G20" s="6">
        <f t="shared" si="0"/>
        <v>115.67855599999999</v>
      </c>
      <c r="H20" s="6">
        <f>20511917/1000000</f>
        <v>20.511917</v>
      </c>
      <c r="I20" s="6">
        <f>56107223/1000000</f>
        <v>56.107222999999998</v>
      </c>
      <c r="J20" s="6">
        <f>39059416/1000000</f>
        <v>39.059415999999999</v>
      </c>
      <c r="K20" s="6">
        <f t="shared" si="1"/>
        <v>115.678556</v>
      </c>
      <c r="L20" s="31"/>
    </row>
    <row r="21" spans="1:12" ht="18" customHeight="1" x14ac:dyDescent="0.2">
      <c r="A21" s="7" t="s">
        <v>140</v>
      </c>
      <c r="B21" s="6">
        <f>371156842/1000000</f>
        <v>371.15684199999998</v>
      </c>
      <c r="C21" s="6">
        <f>609298063/1000000</f>
        <v>609.29806299999996</v>
      </c>
      <c r="D21" s="6">
        <f>396593922/1000000</f>
        <v>396.59392200000002</v>
      </c>
      <c r="E21" s="6">
        <f>617680534/1000000</f>
        <v>617.68053399999997</v>
      </c>
      <c r="F21" s="6">
        <f>399964848/1000000</f>
        <v>399.96484800000002</v>
      </c>
      <c r="G21" s="6">
        <f t="shared" si="0"/>
        <v>2394.6942090000002</v>
      </c>
      <c r="H21" s="6">
        <f>531825313/1000000</f>
        <v>531.82531300000005</v>
      </c>
      <c r="I21" s="6">
        <f>1524357662/1000000</f>
        <v>1524.3576619999999</v>
      </c>
      <c r="J21" s="6">
        <f>338511234/1000000</f>
        <v>338.511234</v>
      </c>
      <c r="K21" s="6">
        <f t="shared" si="1"/>
        <v>2394.6942089999998</v>
      </c>
      <c r="L21" s="31"/>
    </row>
    <row r="22" spans="1:12" ht="18" customHeight="1" x14ac:dyDescent="0.2">
      <c r="A22" s="7" t="s">
        <v>141</v>
      </c>
      <c r="B22" s="6">
        <f>15184339/1000000</f>
        <v>15.184339</v>
      </c>
      <c r="C22" s="6">
        <f>64669271/1000000</f>
        <v>64.669270999999995</v>
      </c>
      <c r="D22" s="6">
        <f>27771680/1000000</f>
        <v>27.77168</v>
      </c>
      <c r="E22" s="6">
        <f>44045590/1000000</f>
        <v>44.045589999999997</v>
      </c>
      <c r="F22" s="6">
        <f>16387736/1000000</f>
        <v>16.387736</v>
      </c>
      <c r="G22" s="6">
        <f t="shared" si="0"/>
        <v>168.05861599999997</v>
      </c>
      <c r="H22" s="6">
        <f>43295829/1000000</f>
        <v>43.295828999999998</v>
      </c>
      <c r="I22" s="6">
        <f>109922297/1000000</f>
        <v>109.922297</v>
      </c>
      <c r="J22" s="6">
        <f>14840490/1000000</f>
        <v>14.840490000000001</v>
      </c>
      <c r="K22" s="6">
        <f t="shared" si="1"/>
        <v>168.05861599999997</v>
      </c>
      <c r="L22" s="31"/>
    </row>
    <row r="23" spans="1:12" ht="18" customHeight="1" x14ac:dyDescent="0.2">
      <c r="A23" s="7" t="s">
        <v>142</v>
      </c>
      <c r="B23" s="6">
        <f>47058644/1000000</f>
        <v>47.058644000000001</v>
      </c>
      <c r="C23" s="6">
        <f>137878521/1000000</f>
        <v>137.87852100000001</v>
      </c>
      <c r="D23" s="6">
        <f>55059449/1000000</f>
        <v>55.059449000000001</v>
      </c>
      <c r="E23" s="6">
        <f>107609232/1000000</f>
        <v>107.60923200000001</v>
      </c>
      <c r="F23" s="6">
        <f>69512850/1000000</f>
        <v>69.51285</v>
      </c>
      <c r="G23" s="6">
        <f t="shared" si="0"/>
        <v>417.118696</v>
      </c>
      <c r="H23" s="6">
        <f>111826742/1000000</f>
        <v>111.826742</v>
      </c>
      <c r="I23" s="6">
        <f>268257037/1000000</f>
        <v>268.25703700000003</v>
      </c>
      <c r="J23" s="6">
        <f>37034917/1000000</f>
        <v>37.034917</v>
      </c>
      <c r="K23" s="6">
        <f t="shared" si="1"/>
        <v>417.11869600000006</v>
      </c>
      <c r="L23" s="31"/>
    </row>
    <row r="24" spans="1:12" ht="18" customHeight="1" x14ac:dyDescent="0.2">
      <c r="A24" s="7" t="s">
        <v>143</v>
      </c>
      <c r="B24" s="6">
        <f>45802064/1000000</f>
        <v>45.802064000000001</v>
      </c>
      <c r="C24" s="6">
        <f>+(145938187+372650)/1000000</f>
        <v>146.31083699999999</v>
      </c>
      <c r="D24" s="6">
        <f>67755915/1000000</f>
        <v>67.755915000000002</v>
      </c>
      <c r="E24" s="6">
        <f>96259713/1000000</f>
        <v>96.259713000000005</v>
      </c>
      <c r="F24" s="6">
        <f>10959974/1000000</f>
        <v>10.959974000000001</v>
      </c>
      <c r="G24" s="6">
        <f t="shared" si="0"/>
        <v>367.08850299999995</v>
      </c>
      <c r="H24" s="6">
        <f>85671929/1000000</f>
        <v>85.671929000000006</v>
      </c>
      <c r="I24" s="6">
        <f>240649282/1000000</f>
        <v>240.649282</v>
      </c>
      <c r="J24" s="6">
        <f>40767292/1000000</f>
        <v>40.767291999999998</v>
      </c>
      <c r="K24" s="6">
        <f t="shared" si="1"/>
        <v>367.088503</v>
      </c>
      <c r="L24" s="31"/>
    </row>
    <row r="25" spans="1:12" ht="18" customHeight="1" x14ac:dyDescent="0.2">
      <c r="A25" s="7" t="s">
        <v>144</v>
      </c>
      <c r="B25" s="6">
        <v>78.239999999999995</v>
      </c>
      <c r="C25" s="6">
        <v>56.87</v>
      </c>
      <c r="D25" s="6">
        <v>40.68</v>
      </c>
      <c r="E25" s="6">
        <v>75.69</v>
      </c>
      <c r="F25" s="6">
        <v>45.19</v>
      </c>
      <c r="G25" s="6">
        <f t="shared" si="0"/>
        <v>296.66999999999996</v>
      </c>
      <c r="H25" s="6">
        <v>78.14</v>
      </c>
      <c r="I25" s="6">
        <v>186.16</v>
      </c>
      <c r="J25" s="6">
        <v>32.369999999999997</v>
      </c>
      <c r="K25" s="6">
        <f t="shared" si="1"/>
        <v>296.67</v>
      </c>
      <c r="L25" s="31"/>
    </row>
    <row r="26" spans="1:12" ht="18" customHeight="1" x14ac:dyDescent="0.2">
      <c r="A26" s="7" t="s">
        <v>145</v>
      </c>
      <c r="B26" s="6">
        <f>16272180/1000000</f>
        <v>16.272179999999999</v>
      </c>
      <c r="C26" s="6">
        <f>127923271/1000000</f>
        <v>127.923271</v>
      </c>
      <c r="D26" s="6">
        <f>38576770/1000000</f>
        <v>38.576770000000003</v>
      </c>
      <c r="E26" s="6">
        <f>62714213/1000000</f>
        <v>62.714213000000001</v>
      </c>
      <c r="F26" s="6">
        <f>87066481/1000000</f>
        <v>87.066480999999996</v>
      </c>
      <c r="G26" s="6">
        <f t="shared" si="0"/>
        <v>332.55291499999998</v>
      </c>
      <c r="H26" s="6">
        <f>62497191/1000000</f>
        <v>62.497191000000001</v>
      </c>
      <c r="I26" s="6">
        <f>165580397/1000000</f>
        <v>165.580397</v>
      </c>
      <c r="J26" s="6">
        <f>104475327/1000000</f>
        <v>104.47532699999999</v>
      </c>
      <c r="K26" s="6">
        <f t="shared" si="1"/>
        <v>332.55291499999998</v>
      </c>
      <c r="L26" s="31"/>
    </row>
    <row r="27" spans="1:12" ht="18" customHeight="1" x14ac:dyDescent="0.2">
      <c r="A27" s="7" t="s">
        <v>146</v>
      </c>
      <c r="B27" s="6">
        <f>83175562/1000000</f>
        <v>83.175561999999999</v>
      </c>
      <c r="C27" s="6">
        <f>137806557/1000000</f>
        <v>137.806557</v>
      </c>
      <c r="D27" s="6">
        <f>57791720/1000000</f>
        <v>57.791719999999998</v>
      </c>
      <c r="E27" s="6">
        <f>96142467/1000000</f>
        <v>96.142466999999996</v>
      </c>
      <c r="F27" s="6">
        <f>33438374/1000000</f>
        <v>33.438374000000003</v>
      </c>
      <c r="G27" s="6">
        <f t="shared" si="0"/>
        <v>408.35468000000003</v>
      </c>
      <c r="H27" s="6">
        <f>141394236/1000000</f>
        <v>141.39423600000001</v>
      </c>
      <c r="I27" s="6">
        <f>240150641/1000000</f>
        <v>240.15064100000001</v>
      </c>
      <c r="J27" s="6">
        <f>26809803/1000000</f>
        <v>26.809802999999999</v>
      </c>
      <c r="K27" s="6">
        <f t="shared" si="1"/>
        <v>408.35468000000003</v>
      </c>
      <c r="L27" s="31"/>
    </row>
    <row r="28" spans="1:12" ht="18" customHeight="1" x14ac:dyDescent="0.2">
      <c r="A28" s="7" t="s">
        <v>147</v>
      </c>
      <c r="B28" s="6">
        <f>85831881/1000000</f>
        <v>85.831880999999996</v>
      </c>
      <c r="C28" s="6">
        <f>78396381/1000000</f>
        <v>78.396381000000005</v>
      </c>
      <c r="D28" s="6">
        <f>41355953/1000000</f>
        <v>41.355953</v>
      </c>
      <c r="E28" s="6">
        <f>102027395/1000000</f>
        <v>102.027395</v>
      </c>
      <c r="F28" s="6">
        <f>5992875/1000000</f>
        <v>5.9928749999999997</v>
      </c>
      <c r="G28" s="6">
        <f t="shared" si="0"/>
        <v>313.60448500000001</v>
      </c>
      <c r="H28" s="6">
        <f>96028724/1000000</f>
        <v>96.028723999999997</v>
      </c>
      <c r="I28" s="6">
        <f>185143380/1000000</f>
        <v>185.14338000000001</v>
      </c>
      <c r="J28" s="6">
        <f>32432381/1000000</f>
        <v>32.432380999999999</v>
      </c>
      <c r="K28" s="6">
        <f t="shared" si="1"/>
        <v>313.60448500000001</v>
      </c>
      <c r="L28" s="31"/>
    </row>
    <row r="29" spans="1:12" ht="18" customHeight="1" x14ac:dyDescent="0.2">
      <c r="A29" s="9" t="s">
        <v>148</v>
      </c>
      <c r="B29" s="6">
        <f>61339287/1000000</f>
        <v>61.339286999999999</v>
      </c>
      <c r="C29" s="6">
        <f>57148487/1000000</f>
        <v>57.148487000000003</v>
      </c>
      <c r="D29" s="6">
        <f>44116654/1000000</f>
        <v>44.116653999999997</v>
      </c>
      <c r="E29" s="6">
        <f>98927542/1000000</f>
        <v>98.927542000000003</v>
      </c>
      <c r="F29" s="6">
        <f>117815220/1000000</f>
        <v>117.81522</v>
      </c>
      <c r="G29" s="6">
        <f t="shared" si="0"/>
        <v>379.34719000000001</v>
      </c>
      <c r="H29" s="6">
        <f>84231704/1000000</f>
        <v>84.231703999999993</v>
      </c>
      <c r="I29" s="6">
        <f>247207393/1000000</f>
        <v>247.207393</v>
      </c>
      <c r="J29" s="6">
        <f>47908093/1000000</f>
        <v>47.908093000000001</v>
      </c>
      <c r="K29" s="6">
        <f t="shared" si="1"/>
        <v>379.34719000000001</v>
      </c>
      <c r="L29" s="31"/>
    </row>
    <row r="30" spans="1:12" ht="18" customHeight="1" x14ac:dyDescent="0.2">
      <c r="A30" s="7" t="s">
        <v>149</v>
      </c>
      <c r="B30" s="6">
        <f>242280671/1000000</f>
        <v>242.28067100000001</v>
      </c>
      <c r="C30" s="6">
        <f>119427522/1000000</f>
        <v>119.427522</v>
      </c>
      <c r="D30" s="6">
        <f>93459320/1000000</f>
        <v>93.459320000000005</v>
      </c>
      <c r="E30" s="6">
        <f>219655329/1000000</f>
        <v>219.65532899999999</v>
      </c>
      <c r="F30" s="6">
        <f>107358303/1000000</f>
        <v>107.35830300000001</v>
      </c>
      <c r="G30" s="6">
        <f t="shared" si="0"/>
        <v>782.18114500000001</v>
      </c>
      <c r="H30" s="6">
        <f>198418062/1000000</f>
        <v>198.41806199999999</v>
      </c>
      <c r="I30" s="6">
        <f>544041826/1000000</f>
        <v>544.04182600000001</v>
      </c>
      <c r="J30" s="6">
        <f>+(30534880+9186377)/1000000</f>
        <v>39.721257000000001</v>
      </c>
      <c r="K30" s="6">
        <f t="shared" si="1"/>
        <v>782.18114500000001</v>
      </c>
      <c r="L30" s="31"/>
    </row>
    <row r="31" spans="1:12" ht="18" customHeight="1" x14ac:dyDescent="0.2">
      <c r="A31" s="7" t="s">
        <v>150</v>
      </c>
      <c r="B31" s="6">
        <f>97580706/1000000</f>
        <v>97.580706000000006</v>
      </c>
      <c r="C31" s="6">
        <f>195405295/1000000</f>
        <v>195.405295</v>
      </c>
      <c r="D31" s="6">
        <f>90088434/1000000</f>
        <v>90.088434000000007</v>
      </c>
      <c r="E31" s="6">
        <f>204810700/1000000</f>
        <v>204.8107</v>
      </c>
      <c r="F31" s="6">
        <f>69789046/1000000</f>
        <v>69.789045999999999</v>
      </c>
      <c r="G31" s="6">
        <f t="shared" si="0"/>
        <v>657.67418099999998</v>
      </c>
      <c r="H31" s="6">
        <f>191858400/1000000</f>
        <v>191.85839999999999</v>
      </c>
      <c r="I31" s="6">
        <f>409484422/1000000</f>
        <v>409.484422</v>
      </c>
      <c r="J31" s="6">
        <f>56331360/1000000</f>
        <v>56.331359999999997</v>
      </c>
      <c r="K31" s="6">
        <f t="shared" si="1"/>
        <v>657.67418199999997</v>
      </c>
      <c r="L31" s="31"/>
    </row>
    <row r="32" spans="1:12" ht="18" customHeight="1" x14ac:dyDescent="0.2">
      <c r="A32" s="7" t="s">
        <v>151</v>
      </c>
      <c r="B32" s="6">
        <f>82479554/1000000</f>
        <v>82.479553999999993</v>
      </c>
      <c r="C32" s="6">
        <f>295976826/1000000</f>
        <v>295.97682600000002</v>
      </c>
      <c r="D32" s="6">
        <f>221086699/1000000</f>
        <v>221.08669900000001</v>
      </c>
      <c r="E32" s="6">
        <f>363221916/1000000</f>
        <v>363.22191600000002</v>
      </c>
      <c r="F32" s="6">
        <f>124886360/1000000</f>
        <v>124.88636</v>
      </c>
      <c r="G32" s="6">
        <f t="shared" si="0"/>
        <v>1087.651355</v>
      </c>
      <c r="H32" s="6">
        <f>326939839/1000000</f>
        <v>326.93983900000001</v>
      </c>
      <c r="I32" s="6">
        <f>702347125/1000000</f>
        <v>702.34712500000001</v>
      </c>
      <c r="J32" s="6">
        <f>58364392/1000000</f>
        <v>58.364392000000002</v>
      </c>
      <c r="K32" s="6">
        <f>+SUM(H32:J32)</f>
        <v>1087.6513559999999</v>
      </c>
      <c r="L32" s="31"/>
    </row>
    <row r="33" spans="1:12" ht="18" customHeight="1" x14ac:dyDescent="0.2">
      <c r="A33" s="7" t="s">
        <v>152</v>
      </c>
      <c r="B33" s="6">
        <f>62330950/1000000</f>
        <v>62.330950000000001</v>
      </c>
      <c r="C33" s="6">
        <f>287671601/1000000</f>
        <v>287.67160100000001</v>
      </c>
      <c r="D33" s="6">
        <f>100587736/1000000</f>
        <v>100.58773600000001</v>
      </c>
      <c r="E33" s="6">
        <f>182413044/1000000</f>
        <v>182.41304400000001</v>
      </c>
      <c r="F33" s="6">
        <f>46504199/1000000</f>
        <v>46.504199</v>
      </c>
      <c r="G33" s="6">
        <f t="shared" si="0"/>
        <v>679.50753000000009</v>
      </c>
      <c r="H33" s="6">
        <f>152305145/1000000</f>
        <v>152.30514500000001</v>
      </c>
      <c r="I33" s="6">
        <f>454203546/1000000</f>
        <v>454.20354600000002</v>
      </c>
      <c r="J33" s="6">
        <f>72998840/1000000</f>
        <v>72.998840000000001</v>
      </c>
      <c r="K33" s="6">
        <f t="shared" si="1"/>
        <v>679.50753099999997</v>
      </c>
      <c r="L33" s="31"/>
    </row>
    <row r="34" spans="1:12" ht="18" customHeight="1" x14ac:dyDescent="0.2">
      <c r="A34" s="7" t="s">
        <v>153</v>
      </c>
      <c r="B34" s="6">
        <f>1799556/1000000</f>
        <v>1.7995559999999999</v>
      </c>
      <c r="C34" s="6">
        <f>(17018696+19964+27133+4837)/1000000</f>
        <v>17.070630000000001</v>
      </c>
      <c r="D34" s="6">
        <f>+(795477+489520+647934+420305)/1000000</f>
        <v>2.3532359999999999</v>
      </c>
      <c r="E34" s="6">
        <f>+(969600+3151656+137018+2960189+437194)/1000000</f>
        <v>7.6556569999999997</v>
      </c>
      <c r="F34" s="6">
        <f>+(2003302+387718+1263266+1612213)/1000000</f>
        <v>5.2664989999999996</v>
      </c>
      <c r="G34" s="6">
        <f t="shared" si="0"/>
        <v>34.145578</v>
      </c>
      <c r="H34" s="6">
        <f>+(904347+2782490+74440+2918252+378647)/1000000</f>
        <v>7.0581759999999996</v>
      </c>
      <c r="I34" s="6">
        <f>+(2424000+7879140+137018+7400472+1092986)/1000000</f>
        <v>18.933616000000001</v>
      </c>
      <c r="J34" s="6">
        <f>+(1695820+2703282+5655+60449+83336+3605244)/1000000</f>
        <v>8.1537860000000002</v>
      </c>
      <c r="K34" s="6">
        <f t="shared" si="1"/>
        <v>34.145578</v>
      </c>
      <c r="L34" s="31"/>
    </row>
    <row r="35" spans="1:12" ht="18" customHeight="1" x14ac:dyDescent="0.2">
      <c r="A35" s="7" t="s">
        <v>154</v>
      </c>
      <c r="B35" s="6">
        <f>198229454/1000000</f>
        <v>198.229454</v>
      </c>
      <c r="C35" s="6">
        <f>75453221/1000000</f>
        <v>75.453220999999999</v>
      </c>
      <c r="D35" s="6">
        <f>72390958/1000000</f>
        <v>72.390957999999998</v>
      </c>
      <c r="E35" s="6">
        <f>156359563/1000000</f>
        <v>156.35956300000001</v>
      </c>
      <c r="F35" s="6">
        <f>52800986/1000000</f>
        <v>52.800986000000002</v>
      </c>
      <c r="G35" s="6">
        <f t="shared" si="0"/>
        <v>555.23418200000003</v>
      </c>
      <c r="H35" s="6">
        <f>143559889/1000000</f>
        <v>143.559889</v>
      </c>
      <c r="I35" s="6">
        <f>390693382/1000000</f>
        <v>390.69338199999999</v>
      </c>
      <c r="J35" s="6">
        <f>20980911/1000000</f>
        <v>20.980910999999999</v>
      </c>
      <c r="K35" s="6">
        <f t="shared" si="1"/>
        <v>555.23418200000003</v>
      </c>
      <c r="L35" s="31"/>
    </row>
    <row r="36" spans="1:12" ht="18" customHeight="1" x14ac:dyDescent="0.2">
      <c r="A36" s="7" t="s">
        <v>155</v>
      </c>
      <c r="B36" s="6">
        <f>38891821/1000000</f>
        <v>38.891821</v>
      </c>
      <c r="C36" s="6">
        <f>121584320/1000000</f>
        <v>121.58432000000001</v>
      </c>
      <c r="D36" s="6">
        <f>93070316/1000000</f>
        <v>93.070316000000005</v>
      </c>
      <c r="E36" s="6">
        <f>102098593/1000000</f>
        <v>102.09859299999999</v>
      </c>
      <c r="F36" s="6">
        <f>85537105/1000000</f>
        <v>85.537104999999997</v>
      </c>
      <c r="G36" s="6">
        <f t="shared" si="0"/>
        <v>441.18215500000002</v>
      </c>
      <c r="H36" s="6">
        <f>78860179/1000000</f>
        <v>78.860179000000002</v>
      </c>
      <c r="I36" s="6">
        <f>254534964/1000000</f>
        <v>254.534964</v>
      </c>
      <c r="J36" s="6">
        <f>107786712/1000000</f>
        <v>107.78671199999999</v>
      </c>
      <c r="K36" s="6">
        <f t="shared" si="1"/>
        <v>441.18185500000004</v>
      </c>
      <c r="L36" s="31"/>
    </row>
    <row r="37" spans="1:12" ht="18" customHeight="1" x14ac:dyDescent="0.2">
      <c r="A37" s="7" t="s">
        <v>156</v>
      </c>
      <c r="B37" s="6">
        <f>452475450/1000000</f>
        <v>452.47545000000002</v>
      </c>
      <c r="C37" s="6">
        <f>362442931/1000000</f>
        <v>362.44293099999999</v>
      </c>
      <c r="D37" s="6">
        <f>373223328/1000000</f>
        <v>373.22332799999998</v>
      </c>
      <c r="E37" s="6">
        <f>565005072/1000000</f>
        <v>565.00507200000004</v>
      </c>
      <c r="F37" s="6">
        <f>221828625/1000000</f>
        <v>221.82862499999999</v>
      </c>
      <c r="G37" s="6">
        <f t="shared" si="0"/>
        <v>1974.975406</v>
      </c>
      <c r="H37" s="6">
        <f>440220943/1000000</f>
        <v>440.22094299999998</v>
      </c>
      <c r="I37" s="6">
        <f>1357752694/1000000</f>
        <v>1357.752694</v>
      </c>
      <c r="J37" s="6">
        <f>177001769/1000000</f>
        <v>177.001769</v>
      </c>
      <c r="K37" s="6">
        <f t="shared" si="1"/>
        <v>1974.975406</v>
      </c>
      <c r="L37" s="31"/>
    </row>
    <row r="38" spans="1:12" ht="18" customHeight="1" x14ac:dyDescent="0.2">
      <c r="A38" s="7" t="s">
        <v>157</v>
      </c>
      <c r="B38" s="6">
        <f>14861480/1000000</f>
        <v>14.86148</v>
      </c>
      <c r="C38" s="6">
        <f>(56149141+206163+225445+390328)/1000000</f>
        <v>56.971077000000001</v>
      </c>
      <c r="D38" s="6">
        <f>17799198/1000000</f>
        <v>17.799198000000001</v>
      </c>
      <c r="E38" s="6">
        <f>52686205/1000000</f>
        <v>52.686205000000001</v>
      </c>
      <c r="F38" s="6">
        <f>35974557/1000000</f>
        <v>35.974556999999997</v>
      </c>
      <c r="G38" s="6">
        <f t="shared" si="0"/>
        <v>178.29251700000003</v>
      </c>
      <c r="H38" s="6">
        <f>44434164/1000000</f>
        <v>44.434164000000003</v>
      </c>
      <c r="I38" s="6">
        <f>116827212/1000000</f>
        <v>116.827212</v>
      </c>
      <c r="J38" s="6">
        <f>+(16999807+31335)/1000000</f>
        <v>17.031141999999999</v>
      </c>
      <c r="K38" s="6">
        <f t="shared" si="1"/>
        <v>178.292518</v>
      </c>
      <c r="L38" s="31"/>
    </row>
    <row r="39" spans="1:12" ht="18" customHeight="1" x14ac:dyDescent="0.2">
      <c r="A39" s="7" t="s">
        <v>158</v>
      </c>
      <c r="B39" s="6">
        <f>+(17184328+80383064+109560215)/1000000</f>
        <v>207.12760700000001</v>
      </c>
      <c r="C39" s="6">
        <f>+(177281457+115742324+69617210)/1000000</f>
        <v>362.64099099999999</v>
      </c>
      <c r="D39" s="6">
        <f>+(187859330+120872835+69398421)/1000000</f>
        <v>378.13058599999999</v>
      </c>
      <c r="E39" s="6">
        <f>+(120196589+260792299+125764022)/1000000</f>
        <v>506.75290999999999</v>
      </c>
      <c r="F39" s="6">
        <f>+(18674049+272812425+87399965)/1000000</f>
        <v>378.886439</v>
      </c>
      <c r="G39" s="6">
        <f t="shared" si="0"/>
        <v>1833.5385329999999</v>
      </c>
      <c r="H39" s="6">
        <f>+(102468921+161359040+123045072)/1000000</f>
        <v>386.87303300000002</v>
      </c>
      <c r="I39" s="6">
        <f>+(300491474+622743648+314410056)/1000000</f>
        <v>1237.645178</v>
      </c>
      <c r="J39" s="6">
        <f>+(118235360+66500260+24284704)/1000000</f>
        <v>209.02032399999999</v>
      </c>
      <c r="K39" s="6">
        <f t="shared" si="1"/>
        <v>1833.5385350000001</v>
      </c>
      <c r="L39" s="31"/>
    </row>
    <row r="40" spans="1:12" ht="18" customHeight="1" x14ac:dyDescent="0.2">
      <c r="A40" s="7" t="s">
        <v>159</v>
      </c>
      <c r="B40" s="6">
        <f>215901856/1000000</f>
        <v>215.90185600000001</v>
      </c>
      <c r="C40" s="6">
        <f>137112156/1000000</f>
        <v>137.112156</v>
      </c>
      <c r="D40" s="6">
        <f>(121609469+673137)/1000000</f>
        <v>122.282606</v>
      </c>
      <c r="E40" s="6">
        <f>+(52071210+70671571+85089504)/1000000</f>
        <v>207.83228500000001</v>
      </c>
      <c r="F40" s="6">
        <f>(18262825+44422146+66226244)/1000000</f>
        <v>128.911215</v>
      </c>
      <c r="G40" s="6">
        <f t="shared" si="0"/>
        <v>812.04011800000001</v>
      </c>
      <c r="H40" s="6">
        <f>+(53006173+53762812+97472186)/1000000</f>
        <v>204.24117100000001</v>
      </c>
      <c r="I40" s="6">
        <f>+(130178024+170655651+212723759)/1000000</f>
        <v>513.55743399999994</v>
      </c>
      <c r="J40" s="6">
        <f>+(66104654+21951792+6185067)/1000000</f>
        <v>94.241512999999998</v>
      </c>
      <c r="K40" s="6">
        <f t="shared" si="1"/>
        <v>812.04011799999989</v>
      </c>
      <c r="L40" s="31"/>
    </row>
    <row r="41" spans="1:12" ht="18" customHeight="1" x14ac:dyDescent="0.2">
      <c r="A41" s="7" t="s">
        <v>175</v>
      </c>
      <c r="B41" s="6">
        <f>48409954/1000000</f>
        <v>48.409953999999999</v>
      </c>
      <c r="C41" s="6">
        <f>+(159738399+623093)/1000000</f>
        <v>160.361492</v>
      </c>
      <c r="D41" s="6">
        <f>73346445/1000000</f>
        <v>73.346445000000003</v>
      </c>
      <c r="E41" s="6">
        <f>138598668/1000000</f>
        <v>138.598668</v>
      </c>
      <c r="F41" s="6">
        <f>79747698/1000000</f>
        <v>79.747698</v>
      </c>
      <c r="G41" s="6">
        <f t="shared" si="0"/>
        <v>500.46425699999998</v>
      </c>
      <c r="H41" s="6">
        <f>139754740/1000000</f>
        <v>139.75474</v>
      </c>
      <c r="I41" s="6">
        <f>330503062/1000000</f>
        <v>330.503062</v>
      </c>
      <c r="J41" s="6">
        <f>+(28641596+1564859)/1000000</f>
        <v>30.206454999999998</v>
      </c>
      <c r="K41" s="6">
        <f t="shared" si="1"/>
        <v>500.46425699999998</v>
      </c>
      <c r="L41" s="31"/>
    </row>
    <row r="42" spans="1:12" ht="18" customHeight="1" x14ac:dyDescent="0.2">
      <c r="A42" s="7" t="s">
        <v>160</v>
      </c>
      <c r="B42" s="6">
        <f>-58625148/1000000</f>
        <v>-58.625148000000003</v>
      </c>
      <c r="C42" s="6">
        <f>85052800/1000000</f>
        <v>85.052800000000005</v>
      </c>
      <c r="D42" s="6">
        <f>32208111/1000000</f>
        <v>32.208111000000002</v>
      </c>
      <c r="E42" s="6">
        <f>80475568/1000000</f>
        <v>80.475567999999996</v>
      </c>
      <c r="F42" s="6">
        <f>49724929/1000000</f>
        <v>49.724929000000003</v>
      </c>
      <c r="G42" s="6">
        <f t="shared" si="0"/>
        <v>188.83626000000001</v>
      </c>
      <c r="H42" s="6">
        <f>12702664/1000000</f>
        <v>12.702664</v>
      </c>
      <c r="I42" s="6">
        <f>160951133/1000000</f>
        <v>160.951133</v>
      </c>
      <c r="J42" s="6">
        <f>15182463/1000000</f>
        <v>15.182463</v>
      </c>
      <c r="K42" s="6">
        <f t="shared" si="1"/>
        <v>188.83626000000001</v>
      </c>
      <c r="L42" s="31"/>
    </row>
    <row r="43" spans="1:12" ht="18" customHeight="1" x14ac:dyDescent="0.2">
      <c r="A43" s="7" t="s">
        <v>161</v>
      </c>
      <c r="B43" s="6">
        <f>1356659/1000000</f>
        <v>1.3566590000000001</v>
      </c>
      <c r="C43" s="6">
        <f>17946173/1000000</f>
        <v>17.946173000000002</v>
      </c>
      <c r="D43" s="6">
        <f>2568764/1000000</f>
        <v>2.5687639999999998</v>
      </c>
      <c r="E43" s="6">
        <f>8855740/1000000</f>
        <v>8.8557400000000008</v>
      </c>
      <c r="F43" s="6">
        <f>6556151/1000000</f>
        <v>6.5561509999999998</v>
      </c>
      <c r="G43" s="6">
        <f t="shared" si="0"/>
        <v>37.283487000000008</v>
      </c>
      <c r="H43" s="6">
        <f>6319926/1000000</f>
        <v>6.3199259999999997</v>
      </c>
      <c r="I43" s="6">
        <f>21933823/1000000</f>
        <v>21.933823</v>
      </c>
      <c r="J43" s="6">
        <f>9029739/1000000</f>
        <v>9.0297389999999993</v>
      </c>
      <c r="K43" s="6">
        <f t="shared" si="1"/>
        <v>37.283487999999998</v>
      </c>
      <c r="L43" s="31"/>
    </row>
    <row r="44" spans="1:12" ht="18" customHeight="1" x14ac:dyDescent="0.2">
      <c r="A44" s="7" t="s">
        <v>162</v>
      </c>
      <c r="B44" s="6">
        <f>86206721/1000000</f>
        <v>86.206721000000002</v>
      </c>
      <c r="C44" s="6">
        <f>96680128/1000000</f>
        <v>96.680127999999996</v>
      </c>
      <c r="D44" s="6">
        <f>58767558/1000000</f>
        <v>58.767558000000001</v>
      </c>
      <c r="E44" s="6">
        <f>120214933/1000000</f>
        <v>120.214933</v>
      </c>
      <c r="F44" s="6">
        <f>77126341/1000000</f>
        <v>77.126340999999996</v>
      </c>
      <c r="G44" s="6">
        <f t="shared" si="0"/>
        <v>438.99568099999999</v>
      </c>
      <c r="H44" s="6">
        <f>114606479/1000000</f>
        <v>114.60647899999999</v>
      </c>
      <c r="I44" s="6">
        <f>298764351/1000000</f>
        <v>298.76435099999998</v>
      </c>
      <c r="J44" s="6">
        <f>25624851/1000000</f>
        <v>25.624851</v>
      </c>
      <c r="K44" s="6">
        <f t="shared" si="1"/>
        <v>438.99568099999993</v>
      </c>
      <c r="L44" s="31"/>
    </row>
    <row r="45" spans="1:12" ht="18" customHeight="1" x14ac:dyDescent="0.2">
      <c r="A45" s="7" t="s">
        <v>163</v>
      </c>
      <c r="B45" s="6">
        <f>8876958/1000000</f>
        <v>8.8769580000000001</v>
      </c>
      <c r="C45" s="6">
        <f>90147479/1000000</f>
        <v>90.147479000000004</v>
      </c>
      <c r="D45" s="6">
        <f>30774594/1000000</f>
        <v>30.774594</v>
      </c>
      <c r="E45" s="6">
        <f>55143391/1000000</f>
        <v>55.143391000000001</v>
      </c>
      <c r="F45" s="6">
        <f>10152236/1000000</f>
        <v>10.152236</v>
      </c>
      <c r="G45" s="6">
        <f t="shared" si="0"/>
        <v>195.09465800000001</v>
      </c>
      <c r="H45" s="6">
        <f>44854196/1000000</f>
        <v>44.854196000000002</v>
      </c>
      <c r="I45" s="6">
        <f>137652950/1000000</f>
        <v>137.65295</v>
      </c>
      <c r="J45" s="6">
        <f>12587512/1000000</f>
        <v>12.587512</v>
      </c>
      <c r="K45" s="6">
        <f t="shared" si="1"/>
        <v>195.09465800000001</v>
      </c>
      <c r="L45" s="31"/>
    </row>
    <row r="46" spans="1:12" ht="18" customHeight="1" x14ac:dyDescent="0.2">
      <c r="A46" s="7" t="s">
        <v>164</v>
      </c>
      <c r="B46" s="6">
        <f>20358271/1000000</f>
        <v>20.358270999999998</v>
      </c>
      <c r="C46" s="6">
        <f>69384014/1000000</f>
        <v>69.384013999999993</v>
      </c>
      <c r="D46" s="6">
        <f>24935800/1000000</f>
        <v>24.9358</v>
      </c>
      <c r="E46" s="6">
        <f>54779161/1000000</f>
        <v>54.779161000000002</v>
      </c>
      <c r="F46" s="6">
        <f>36014579/1000000</f>
        <v>36.014578999999998</v>
      </c>
      <c r="G46" s="6">
        <f t="shared" si="0"/>
        <v>205.471825</v>
      </c>
      <c r="H46" s="6">
        <f>56680274/1000000</f>
        <v>56.680273999999997</v>
      </c>
      <c r="I46" s="6">
        <f>132109826/1000000</f>
        <v>132.109826</v>
      </c>
      <c r="J46" s="6">
        <f>16681725/1000000</f>
        <v>16.681725</v>
      </c>
      <c r="K46" s="6">
        <f t="shared" si="1"/>
        <v>205.471825</v>
      </c>
      <c r="L46" s="31"/>
    </row>
    <row r="47" spans="1:12" ht="18" customHeight="1" x14ac:dyDescent="0.2">
      <c r="A47" s="7" t="s">
        <v>165</v>
      </c>
      <c r="B47" s="6">
        <f>92378/1000000</f>
        <v>9.2378000000000002E-2</v>
      </c>
      <c r="C47" s="6">
        <f>4057276/1000000</f>
        <v>4.0572759999999999</v>
      </c>
      <c r="D47" s="6">
        <f>886455/1000000</f>
        <v>0.88645499999999999</v>
      </c>
      <c r="E47" s="6">
        <f>1668212/1000000</f>
        <v>1.668212</v>
      </c>
      <c r="F47" s="6">
        <f>3754447/1000000</f>
        <v>3.7544469999999999</v>
      </c>
      <c r="G47" s="6">
        <f t="shared" si="0"/>
        <v>10.458767999999999</v>
      </c>
      <c r="H47" s="6">
        <f>2236328/1000000</f>
        <v>2.2363279999999999</v>
      </c>
      <c r="I47" s="6">
        <f>4170529/1000000</f>
        <v>4.1705290000000002</v>
      </c>
      <c r="J47" s="6">
        <f>4051911/1000000</f>
        <v>4.0519109999999996</v>
      </c>
      <c r="K47" s="6">
        <f t="shared" si="1"/>
        <v>10.458767999999999</v>
      </c>
      <c r="L47" s="31"/>
    </row>
    <row r="48" spans="1:12" ht="18" customHeight="1" x14ac:dyDescent="0.2">
      <c r="A48" s="7" t="s">
        <v>166</v>
      </c>
      <c r="B48" s="6">
        <f>48658653/1000000</f>
        <v>48.658653000000001</v>
      </c>
      <c r="C48" s="6">
        <f>160903527/1000000</f>
        <v>160.903527</v>
      </c>
      <c r="D48" s="6">
        <f>59721624/1000000</f>
        <v>59.721623999999998</v>
      </c>
      <c r="E48" s="6">
        <f>109448301/1000000</f>
        <v>109.448301</v>
      </c>
      <c r="F48" s="6">
        <f>44542256/1000000</f>
        <v>44.542256000000002</v>
      </c>
      <c r="G48" s="6">
        <f t="shared" si="0"/>
        <v>423.27436100000006</v>
      </c>
      <c r="H48" s="6">
        <f>101675149/1000000</f>
        <v>101.675149</v>
      </c>
      <c r="I48" s="6">
        <f>267644882/1000000</f>
        <v>267.644882</v>
      </c>
      <c r="J48" s="6">
        <f>53954329/1000000</f>
        <v>53.954329000000001</v>
      </c>
      <c r="K48" s="6">
        <f>+SUM(H48:J48)</f>
        <v>423.27436</v>
      </c>
      <c r="L48" s="31"/>
    </row>
    <row r="49" spans="1:12" ht="18" customHeight="1" x14ac:dyDescent="0.2">
      <c r="A49" s="7" t="s">
        <v>167</v>
      </c>
      <c r="B49" s="6">
        <f>67285588/1000000</f>
        <v>67.285588000000004</v>
      </c>
      <c r="C49" s="6">
        <f>49203902/1000000</f>
        <v>49.203901999999999</v>
      </c>
      <c r="D49" s="6">
        <f>42989574/1000000</f>
        <v>42.989573999999998</v>
      </c>
      <c r="E49" s="6">
        <f>112692081/1000000</f>
        <v>112.692081</v>
      </c>
      <c r="F49" s="6">
        <f>122484965/1000000</f>
        <v>122.484965</v>
      </c>
      <c r="G49" s="6">
        <f t="shared" si="0"/>
        <v>394.65611000000001</v>
      </c>
      <c r="H49" s="6">
        <f>92053581/1000000</f>
        <v>92.053580999999994</v>
      </c>
      <c r="I49" s="6">
        <f>281724674/1000000</f>
        <v>281.72467399999999</v>
      </c>
      <c r="J49" s="6">
        <f>20877855/1000000</f>
        <v>20.877855</v>
      </c>
      <c r="K49" s="6">
        <f t="shared" si="1"/>
        <v>394.65611000000001</v>
      </c>
      <c r="L49" s="31"/>
    </row>
    <row r="50" spans="1:12" ht="18" customHeight="1" x14ac:dyDescent="0.2">
      <c r="A50" s="5" t="s">
        <v>92</v>
      </c>
      <c r="B50" s="6">
        <f>SUM(B5:B49)</f>
        <v>3527.8528389999992</v>
      </c>
      <c r="C50" s="6">
        <f t="shared" ref="C50:K50" si="2">SUM(C5:C49)</f>
        <v>6014.2490900000012</v>
      </c>
      <c r="D50" s="6">
        <f t="shared" si="2"/>
        <v>3608.3909169999997</v>
      </c>
      <c r="E50" s="6">
        <f t="shared" si="2"/>
        <v>6208.8221220000005</v>
      </c>
      <c r="F50" s="6">
        <f t="shared" si="2"/>
        <v>3315.2692890000008</v>
      </c>
      <c r="G50" s="6">
        <f t="shared" si="2"/>
        <v>22674.58425700001</v>
      </c>
      <c r="H50" s="6">
        <f t="shared" si="2"/>
        <v>5481.1757580000012</v>
      </c>
      <c r="I50" s="6">
        <f t="shared" si="2"/>
        <v>14915.254949000004</v>
      </c>
      <c r="J50" s="6">
        <f t="shared" si="2"/>
        <v>2278.1576940000009</v>
      </c>
      <c r="K50" s="6">
        <f t="shared" si="2"/>
        <v>22674.588401000005</v>
      </c>
      <c r="L50" s="31"/>
    </row>
    <row r="51" spans="1:12" ht="18" customHeight="1" x14ac:dyDescent="0.2">
      <c r="A51" s="7" t="s">
        <v>168</v>
      </c>
      <c r="B51" s="6">
        <f>2029130599/1000000</f>
        <v>2029.1305990000001</v>
      </c>
      <c r="C51" s="6">
        <f>881994144/1000000</f>
        <v>881.99414400000001</v>
      </c>
      <c r="D51" s="6">
        <f>1655971523/1000000</f>
        <v>1655.9715229999999</v>
      </c>
      <c r="E51" s="6">
        <f>2985067162/1000000</f>
        <v>2985.0671619999998</v>
      </c>
      <c r="F51" s="6">
        <f>1778889515/1000000</f>
        <v>1778.8895150000001</v>
      </c>
      <c r="G51" s="6">
        <f t="shared" si="0"/>
        <v>9331.0529430000006</v>
      </c>
      <c r="H51" s="6">
        <f>2952291701/1000000</f>
        <v>2952.2917010000001</v>
      </c>
      <c r="I51" s="6">
        <f>5860214050/1000000</f>
        <v>5860.2140499999996</v>
      </c>
      <c r="J51" s="6">
        <f>518547192/1000000</f>
        <v>518.547192</v>
      </c>
      <c r="K51" s="6">
        <f>+SUM(H51:J51)</f>
        <v>9331.0529430000006</v>
      </c>
      <c r="L51" s="31"/>
    </row>
    <row r="52" spans="1:12" ht="18" customHeight="1" x14ac:dyDescent="0.2">
      <c r="A52" s="5" t="s">
        <v>94</v>
      </c>
      <c r="B52" s="6">
        <f>+B50+B51</f>
        <v>5556.9834379999993</v>
      </c>
      <c r="C52" s="6">
        <f t="shared" ref="C52:K52" si="3">+C50+C51</f>
        <v>6896.2432340000014</v>
      </c>
      <c r="D52" s="6">
        <f t="shared" si="3"/>
        <v>5264.3624399999999</v>
      </c>
      <c r="E52" s="6">
        <f t="shared" si="3"/>
        <v>9193.8892840000008</v>
      </c>
      <c r="F52" s="6">
        <f t="shared" si="3"/>
        <v>5094.1588040000006</v>
      </c>
      <c r="G52" s="6">
        <f t="shared" si="3"/>
        <v>32005.637200000012</v>
      </c>
      <c r="H52" s="6">
        <f t="shared" si="3"/>
        <v>8433.4674590000013</v>
      </c>
      <c r="I52" s="6">
        <f t="shared" si="3"/>
        <v>20775.468999000004</v>
      </c>
      <c r="J52" s="6">
        <f t="shared" si="3"/>
        <v>2796.7048860000009</v>
      </c>
      <c r="K52" s="6">
        <f t="shared" si="3"/>
        <v>32005.641344000003</v>
      </c>
      <c r="L52" s="31"/>
    </row>
  </sheetData>
  <mergeCells count="4">
    <mergeCell ref="J2:K2"/>
    <mergeCell ref="A3:A4"/>
    <mergeCell ref="B3:G3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Con_BS</vt:lpstr>
      <vt:lpstr>Con_LR</vt:lpstr>
      <vt:lpstr>Con_FP</vt:lpstr>
      <vt:lpstr>BS_Life</vt:lpstr>
      <vt:lpstr>RA_Life</vt:lpstr>
      <vt:lpstr>Achiv_Life</vt:lpstr>
      <vt:lpstr>Growth_Life</vt:lpstr>
      <vt:lpstr>BS_Non_Life</vt:lpstr>
      <vt:lpstr>RA_Non_Life</vt:lpstr>
      <vt:lpstr>At_a_Glance</vt:lpstr>
      <vt:lpstr>Achiv_Non_Life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</dc:creator>
  <cp:lastModifiedBy>Zahid</cp:lastModifiedBy>
  <cp:lastPrinted>2018-12-31T06:28:52Z</cp:lastPrinted>
  <dcterms:created xsi:type="dcterms:W3CDTF">2020-10-06T04:09:32Z</dcterms:created>
  <dcterms:modified xsi:type="dcterms:W3CDTF">2020-11-08T04:59:08Z</dcterms:modified>
</cp:coreProperties>
</file>