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Zahid\Desktop\"/>
    </mc:Choice>
  </mc:AlternateContent>
  <xr:revisionPtr revIDLastSave="0" documentId="8_{6BF089F5-6F66-4C8C-89DB-E2D6E3F16C2A}" xr6:coauthVersionLast="45" xr6:coauthVersionMax="45" xr10:uidLastSave="{00000000-0000-0000-0000-000000000000}"/>
  <bookViews>
    <workbookView xWindow="-120" yWindow="-120" windowWidth="20730" windowHeight="11160" firstSheet="1" activeTab="1"/>
  </bookViews>
  <sheets>
    <sheet name="Con_BS" sheetId="3" r:id="rId1"/>
    <sheet name="Con_LR" sheetId="2" r:id="rId2"/>
    <sheet name="Con_FP" sheetId="5" r:id="rId3"/>
    <sheet name="year_book_2018_life_ non_life" sheetId="6" r:id="rId4"/>
    <sheet name="RA_Life" sheetId="7" r:id="rId5"/>
    <sheet name="Achiv_Life" sheetId="8" r:id="rId6"/>
    <sheet name="Growth_Life" sheetId="9" r:id="rId7"/>
    <sheet name="BS_Non_Life" sheetId="10" r:id="rId8"/>
    <sheet name="RA_Non_Life" sheetId="11" r:id="rId9"/>
    <sheet name="At_a_Glance" sheetId="12" r:id="rId10"/>
    <sheet name="Achiv_Non_Life" sheetId="13" r:id="rId11"/>
  </sheets>
  <calcPr calcId="181029"/>
</workbook>
</file>

<file path=xl/calcChain.xml><?xml version="1.0" encoding="utf-8"?>
<calcChain xmlns="http://schemas.openxmlformats.org/spreadsheetml/2006/main">
  <c r="G24" i="9" l="1"/>
  <c r="G37" i="9"/>
  <c r="G39" i="9" s="1"/>
  <c r="C24" i="9"/>
  <c r="D23" i="8"/>
  <c r="C23" i="8"/>
  <c r="B23" i="8"/>
  <c r="F24" i="9" s="1"/>
  <c r="H24" i="9" s="1"/>
  <c r="M23" i="7"/>
  <c r="L23" i="8"/>
  <c r="L23" i="7"/>
  <c r="K23" i="7"/>
  <c r="I23" i="7"/>
  <c r="H23" i="8" s="1"/>
  <c r="H23" i="7"/>
  <c r="E23" i="7"/>
  <c r="D23" i="7"/>
  <c r="C23" i="7"/>
  <c r="B23" i="7"/>
  <c r="L23" i="6"/>
  <c r="J23" i="6"/>
  <c r="I23" i="6"/>
  <c r="G23" i="6"/>
  <c r="F23" i="6"/>
  <c r="E23" i="6"/>
  <c r="D23" i="6"/>
  <c r="C23" i="6"/>
  <c r="B23" i="6"/>
  <c r="J23" i="8" s="1"/>
  <c r="D7" i="8"/>
  <c r="C7" i="8"/>
  <c r="B7" i="8"/>
  <c r="M7" i="7"/>
  <c r="L7" i="8" s="1"/>
  <c r="L7" i="7"/>
  <c r="F7" i="8" s="1"/>
  <c r="K7" i="7"/>
  <c r="H7" i="7"/>
  <c r="M7" i="8"/>
  <c r="B8" i="9" s="1"/>
  <c r="E7" i="7"/>
  <c r="E36" i="7" s="1"/>
  <c r="E38" i="7" s="1"/>
  <c r="B27" i="2" s="1"/>
  <c r="D7" i="7"/>
  <c r="C7" i="7"/>
  <c r="C36" i="7" s="1"/>
  <c r="C38" i="7" s="1"/>
  <c r="B25" i="2" s="1"/>
  <c r="B7" i="7"/>
  <c r="L7" i="6"/>
  <c r="J7" i="6"/>
  <c r="I7" i="6"/>
  <c r="G7" i="6"/>
  <c r="F7" i="6"/>
  <c r="D7" i="6"/>
  <c r="B7" i="6"/>
  <c r="D6" i="8"/>
  <c r="C6" i="8"/>
  <c r="B6" i="8"/>
  <c r="M6" i="7"/>
  <c r="L6" i="8"/>
  <c r="L6" i="7"/>
  <c r="K6" i="7"/>
  <c r="H6" i="7"/>
  <c r="E6" i="7"/>
  <c r="D6" i="7"/>
  <c r="C6" i="7"/>
  <c r="B6" i="7"/>
  <c r="L6" i="6"/>
  <c r="K6" i="6"/>
  <c r="J6" i="6"/>
  <c r="I6" i="6"/>
  <c r="F6" i="6"/>
  <c r="G6" i="6"/>
  <c r="D6" i="6"/>
  <c r="C6" i="6"/>
  <c r="B6" i="6"/>
  <c r="E37" i="7"/>
  <c r="D37" i="7"/>
  <c r="C37" i="7"/>
  <c r="B37" i="7"/>
  <c r="D13" i="8"/>
  <c r="C13" i="8"/>
  <c r="B13" i="8"/>
  <c r="M13" i="7"/>
  <c r="L13" i="7"/>
  <c r="K13" i="7"/>
  <c r="H13" i="7"/>
  <c r="E13" i="7"/>
  <c r="D13" i="7"/>
  <c r="C13" i="7"/>
  <c r="B13" i="7"/>
  <c r="L13" i="6"/>
  <c r="J13" i="6"/>
  <c r="I13" i="6"/>
  <c r="G13" i="6"/>
  <c r="F13" i="6"/>
  <c r="E13" i="6"/>
  <c r="D13" i="6"/>
  <c r="C13" i="6"/>
  <c r="B13" i="6"/>
  <c r="D37" i="8"/>
  <c r="C37" i="8"/>
  <c r="B37" i="8"/>
  <c r="M37" i="7"/>
  <c r="L37" i="7"/>
  <c r="K37" i="7"/>
  <c r="I37" i="7"/>
  <c r="H37" i="7"/>
  <c r="L37" i="6"/>
  <c r="K37" i="6"/>
  <c r="J37" i="6"/>
  <c r="I37" i="6"/>
  <c r="F37" i="6"/>
  <c r="G37" i="6"/>
  <c r="E37" i="6"/>
  <c r="D37" i="6"/>
  <c r="C37" i="6"/>
  <c r="B37" i="6"/>
  <c r="H37" i="6" s="1"/>
  <c r="D18" i="8"/>
  <c r="C18" i="8"/>
  <c r="B18" i="8"/>
  <c r="F19" i="9" s="1"/>
  <c r="E18" i="7"/>
  <c r="E5" i="7"/>
  <c r="M18" i="7"/>
  <c r="L18" i="8"/>
  <c r="L18" i="7"/>
  <c r="K18" i="7"/>
  <c r="I18" i="7"/>
  <c r="H18" i="8"/>
  <c r="H18" i="7"/>
  <c r="M18" i="8"/>
  <c r="B19" i="9" s="1"/>
  <c r="D19" i="9" s="1"/>
  <c r="G18" i="7"/>
  <c r="D18" i="7"/>
  <c r="C18" i="7"/>
  <c r="B18" i="7"/>
  <c r="L18" i="6"/>
  <c r="J18" i="6"/>
  <c r="I18" i="6"/>
  <c r="F18" i="6"/>
  <c r="G18" i="6"/>
  <c r="E18" i="6"/>
  <c r="D18" i="6"/>
  <c r="C18" i="6"/>
  <c r="B18" i="6"/>
  <c r="AI51" i="13"/>
  <c r="AF51" i="13"/>
  <c r="AD51" i="13"/>
  <c r="AB51" i="13"/>
  <c r="AA51" i="13"/>
  <c r="Y51" i="13"/>
  <c r="X51" i="13"/>
  <c r="W51" i="13"/>
  <c r="V51" i="13"/>
  <c r="T51" i="13"/>
  <c r="S51" i="13"/>
  <c r="R51" i="13"/>
  <c r="Q51" i="13"/>
  <c r="O51" i="13"/>
  <c r="N51" i="13"/>
  <c r="M51" i="13"/>
  <c r="L51" i="13"/>
  <c r="J51" i="13"/>
  <c r="I51" i="13"/>
  <c r="H51" i="13"/>
  <c r="G51" i="13"/>
  <c r="E51" i="13"/>
  <c r="D51" i="13"/>
  <c r="C51" i="13"/>
  <c r="B51" i="13"/>
  <c r="E20" i="12"/>
  <c r="J51" i="11"/>
  <c r="I51" i="11"/>
  <c r="H51" i="11"/>
  <c r="F51" i="11"/>
  <c r="E51" i="11"/>
  <c r="D51" i="11"/>
  <c r="C51" i="11"/>
  <c r="B51" i="11"/>
  <c r="M51" i="10"/>
  <c r="F51" i="10"/>
  <c r="I51" i="10"/>
  <c r="L51" i="10"/>
  <c r="K51" i="10"/>
  <c r="G51" i="10"/>
  <c r="E51" i="10"/>
  <c r="D51" i="10"/>
  <c r="C51" i="10"/>
  <c r="AH51" i="13" s="1"/>
  <c r="B51" i="10"/>
  <c r="AG51" i="13" s="1"/>
  <c r="D11" i="8"/>
  <c r="C11" i="8"/>
  <c r="B11" i="8"/>
  <c r="M11" i="7"/>
  <c r="L11" i="7"/>
  <c r="F11" i="8" s="1"/>
  <c r="K11" i="7"/>
  <c r="H11" i="7"/>
  <c r="M11" i="8"/>
  <c r="B12" i="9" s="1"/>
  <c r="E11" i="7"/>
  <c r="D11" i="7"/>
  <c r="C11" i="7"/>
  <c r="B11" i="7"/>
  <c r="L11" i="6"/>
  <c r="K11" i="6"/>
  <c r="J11" i="6"/>
  <c r="I11" i="6"/>
  <c r="G11" i="6"/>
  <c r="F11" i="6"/>
  <c r="E11" i="6"/>
  <c r="D11" i="6"/>
  <c r="C11" i="6"/>
  <c r="K11" i="8" s="1"/>
  <c r="B11" i="6"/>
  <c r="D17" i="8"/>
  <c r="C17" i="8"/>
  <c r="B17" i="8"/>
  <c r="M17" i="7"/>
  <c r="L17" i="7"/>
  <c r="F17" i="8" s="1"/>
  <c r="K17" i="7"/>
  <c r="E17" i="7"/>
  <c r="H17" i="7"/>
  <c r="M17" i="8" s="1"/>
  <c r="B18" i="9" s="1"/>
  <c r="E18" i="9" s="1"/>
  <c r="D17" i="7"/>
  <c r="B17" i="7"/>
  <c r="L17" i="6"/>
  <c r="J17" i="6"/>
  <c r="I17" i="6"/>
  <c r="G17" i="6"/>
  <c r="F17" i="6"/>
  <c r="D17" i="6"/>
  <c r="B17" i="6"/>
  <c r="D30" i="8"/>
  <c r="C30" i="8"/>
  <c r="B30" i="8"/>
  <c r="M30" i="7"/>
  <c r="L30" i="7"/>
  <c r="K30" i="7"/>
  <c r="N30" i="7" s="1"/>
  <c r="H30" i="7"/>
  <c r="E30" i="7"/>
  <c r="D30" i="7"/>
  <c r="C30" i="7"/>
  <c r="B30" i="7"/>
  <c r="G30" i="8" s="1"/>
  <c r="L30" i="6"/>
  <c r="J30" i="6"/>
  <c r="I30" i="6"/>
  <c r="G30" i="6"/>
  <c r="F30" i="6"/>
  <c r="E30" i="6"/>
  <c r="D30" i="6"/>
  <c r="C30" i="6"/>
  <c r="K30" i="8"/>
  <c r="B30" i="6"/>
  <c r="D14" i="8"/>
  <c r="C14" i="8"/>
  <c r="B14" i="8"/>
  <c r="F15" i="9" s="1"/>
  <c r="H15" i="9" s="1"/>
  <c r="M14" i="7"/>
  <c r="L14" i="8"/>
  <c r="L14" i="7"/>
  <c r="K14" i="7"/>
  <c r="H14" i="7"/>
  <c r="E14" i="7"/>
  <c r="D14" i="7"/>
  <c r="C14" i="7"/>
  <c r="B14" i="7"/>
  <c r="G14" i="8"/>
  <c r="L14" i="6"/>
  <c r="J14" i="6"/>
  <c r="I14" i="6"/>
  <c r="G14" i="6"/>
  <c r="F14" i="6"/>
  <c r="E14" i="6"/>
  <c r="D14" i="6"/>
  <c r="C14" i="6"/>
  <c r="K14" i="8" s="1"/>
  <c r="B14" i="6"/>
  <c r="D15" i="8"/>
  <c r="C15" i="8"/>
  <c r="B15" i="8"/>
  <c r="M15" i="7"/>
  <c r="L15" i="8"/>
  <c r="L15" i="7"/>
  <c r="F15" i="8"/>
  <c r="K15" i="7"/>
  <c r="H15" i="7"/>
  <c r="E15" i="7"/>
  <c r="D15" i="7"/>
  <c r="C15" i="7"/>
  <c r="B15" i="7"/>
  <c r="G15" i="8" s="1"/>
  <c r="L15" i="6"/>
  <c r="K15" i="6"/>
  <c r="J15" i="6"/>
  <c r="I15" i="6"/>
  <c r="G15" i="6"/>
  <c r="F15" i="6"/>
  <c r="E15" i="6"/>
  <c r="D15" i="6"/>
  <c r="C15" i="6"/>
  <c r="B15" i="6"/>
  <c r="J15" i="8"/>
  <c r="D28" i="8"/>
  <c r="C28" i="8"/>
  <c r="B28" i="8"/>
  <c r="M28" i="7"/>
  <c r="L28" i="8" s="1"/>
  <c r="L28" i="7"/>
  <c r="K28" i="7"/>
  <c r="I28" i="7"/>
  <c r="H28" i="8" s="1"/>
  <c r="H28" i="7"/>
  <c r="M28" i="8" s="1"/>
  <c r="B29" i="9"/>
  <c r="G28" i="7"/>
  <c r="I28" i="8"/>
  <c r="E28" i="7"/>
  <c r="D28" i="7"/>
  <c r="C28" i="7"/>
  <c r="B28" i="7"/>
  <c r="L28" i="6"/>
  <c r="K28" i="6"/>
  <c r="I28" i="6"/>
  <c r="J28" i="6"/>
  <c r="F28" i="6"/>
  <c r="G28" i="6"/>
  <c r="D28" i="6"/>
  <c r="C28" i="6"/>
  <c r="B28" i="6"/>
  <c r="D34" i="8"/>
  <c r="C34" i="8"/>
  <c r="B34" i="8"/>
  <c r="M34" i="7"/>
  <c r="L34" i="8"/>
  <c r="L34" i="7"/>
  <c r="F34" i="8"/>
  <c r="K34" i="7"/>
  <c r="H34" i="7"/>
  <c r="M34" i="8" s="1"/>
  <c r="E34" i="7"/>
  <c r="D34" i="7"/>
  <c r="C34" i="7"/>
  <c r="B34" i="7"/>
  <c r="K34" i="6"/>
  <c r="L34" i="6"/>
  <c r="J34" i="6"/>
  <c r="I34" i="6"/>
  <c r="G34" i="6"/>
  <c r="F34" i="6"/>
  <c r="E34" i="6"/>
  <c r="D34" i="6"/>
  <c r="C34" i="6"/>
  <c r="K34" i="8" s="1"/>
  <c r="B34" i="6"/>
  <c r="C16" i="8"/>
  <c r="B16" i="8"/>
  <c r="D16" i="7"/>
  <c r="M16" i="7"/>
  <c r="L16" i="8" s="1"/>
  <c r="L16" i="7"/>
  <c r="F16" i="8" s="1"/>
  <c r="K16" i="7"/>
  <c r="H16" i="7"/>
  <c r="M16" i="8"/>
  <c r="B17" i="9" s="1"/>
  <c r="E16" i="7"/>
  <c r="C16" i="7"/>
  <c r="B16" i="7"/>
  <c r="G16" i="8" s="1"/>
  <c r="L16" i="6"/>
  <c r="K16" i="6"/>
  <c r="J16" i="6"/>
  <c r="I16" i="6"/>
  <c r="G16" i="6"/>
  <c r="F16" i="6"/>
  <c r="D16" i="6"/>
  <c r="C16" i="6"/>
  <c r="K16" i="8"/>
  <c r="B16" i="6"/>
  <c r="D8" i="8"/>
  <c r="C8" i="8"/>
  <c r="B8" i="8"/>
  <c r="M8" i="7"/>
  <c r="L8" i="8"/>
  <c r="L8" i="7"/>
  <c r="F8" i="8"/>
  <c r="K8" i="7"/>
  <c r="E8" i="7"/>
  <c r="H8" i="7"/>
  <c r="M8" i="8"/>
  <c r="B9" i="9" s="1"/>
  <c r="E9" i="9" s="1"/>
  <c r="D8" i="7"/>
  <c r="C8" i="7"/>
  <c r="B8" i="7"/>
  <c r="L8" i="6"/>
  <c r="J8" i="6"/>
  <c r="I8" i="6"/>
  <c r="G8" i="6"/>
  <c r="F8" i="6"/>
  <c r="E8" i="6"/>
  <c r="D8" i="6"/>
  <c r="C8" i="6"/>
  <c r="B8" i="6"/>
  <c r="D19" i="8"/>
  <c r="C19" i="8"/>
  <c r="B19" i="8"/>
  <c r="M19" i="7"/>
  <c r="L19" i="7"/>
  <c r="K19" i="7"/>
  <c r="H19" i="7"/>
  <c r="E19" i="7"/>
  <c r="D19" i="7"/>
  <c r="C19" i="7"/>
  <c r="B19" i="7"/>
  <c r="G19" i="8"/>
  <c r="K19" i="6"/>
  <c r="L19" i="6"/>
  <c r="J19" i="6"/>
  <c r="I19" i="6"/>
  <c r="F19" i="6"/>
  <c r="G19" i="6"/>
  <c r="D19" i="6"/>
  <c r="C19" i="6"/>
  <c r="K19" i="8" s="1"/>
  <c r="B19" i="6"/>
  <c r="J19" i="8" s="1"/>
  <c r="D31" i="8"/>
  <c r="C31" i="8"/>
  <c r="B31" i="8"/>
  <c r="F32" i="9" s="1"/>
  <c r="H32" i="9"/>
  <c r="M31" i="7"/>
  <c r="L31" i="8"/>
  <c r="L31" i="7"/>
  <c r="F31" i="8"/>
  <c r="K31" i="7"/>
  <c r="H31" i="7"/>
  <c r="G31" i="7"/>
  <c r="I31" i="8"/>
  <c r="E31" i="7"/>
  <c r="D31" i="7"/>
  <c r="C31" i="7"/>
  <c r="B31" i="7"/>
  <c r="G31" i="8" s="1"/>
  <c r="L31" i="6"/>
  <c r="K31" i="6"/>
  <c r="J31" i="6"/>
  <c r="I31" i="6"/>
  <c r="G31" i="6"/>
  <c r="F31" i="6"/>
  <c r="D31" i="6"/>
  <c r="C31" i="6"/>
  <c r="K31" i="8"/>
  <c r="B31" i="6"/>
  <c r="D20" i="8"/>
  <c r="C20" i="8"/>
  <c r="B20" i="8"/>
  <c r="M20" i="7"/>
  <c r="L20" i="8"/>
  <c r="L20" i="7"/>
  <c r="K20" i="7"/>
  <c r="B20" i="7"/>
  <c r="G20" i="8"/>
  <c r="E20" i="7"/>
  <c r="I20" i="7"/>
  <c r="H20" i="7"/>
  <c r="M20" i="8"/>
  <c r="B21" i="9" s="1"/>
  <c r="G20" i="7"/>
  <c r="D20" i="7"/>
  <c r="C20" i="7"/>
  <c r="L20" i="6"/>
  <c r="J20" i="6"/>
  <c r="I20" i="6"/>
  <c r="M20" i="6" s="1"/>
  <c r="G20" i="6"/>
  <c r="F20" i="6"/>
  <c r="E20" i="6"/>
  <c r="D20" i="6"/>
  <c r="C20" i="6"/>
  <c r="B20" i="6"/>
  <c r="J20" i="8" s="1"/>
  <c r="D21" i="8"/>
  <c r="C21" i="8"/>
  <c r="B21" i="8"/>
  <c r="M21" i="7"/>
  <c r="E21" i="7"/>
  <c r="L21" i="7"/>
  <c r="K21" i="7"/>
  <c r="H21" i="7"/>
  <c r="M21" i="8" s="1"/>
  <c r="D21" i="7"/>
  <c r="C21" i="7"/>
  <c r="F21" i="7" s="1"/>
  <c r="B21" i="7"/>
  <c r="K21" i="6"/>
  <c r="L21" i="6"/>
  <c r="J21" i="6"/>
  <c r="I21" i="6"/>
  <c r="F21" i="6"/>
  <c r="G21" i="6"/>
  <c r="D21" i="6"/>
  <c r="C21" i="6"/>
  <c r="K21" i="8" s="1"/>
  <c r="B21" i="6"/>
  <c r="AI19" i="13"/>
  <c r="AF19" i="13"/>
  <c r="AE19" i="13"/>
  <c r="AD19" i="13"/>
  <c r="AB19" i="13"/>
  <c r="AA19" i="13"/>
  <c r="Y19" i="13"/>
  <c r="X19" i="13"/>
  <c r="W19" i="13"/>
  <c r="V19" i="13"/>
  <c r="T19" i="13"/>
  <c r="S19" i="13"/>
  <c r="R19" i="13"/>
  <c r="Q19" i="13"/>
  <c r="O19" i="13"/>
  <c r="N19" i="13"/>
  <c r="M19" i="13"/>
  <c r="L19" i="13"/>
  <c r="J19" i="13"/>
  <c r="I19" i="13"/>
  <c r="H19" i="13"/>
  <c r="G19" i="13"/>
  <c r="E19" i="13"/>
  <c r="D19" i="13"/>
  <c r="C19" i="13"/>
  <c r="B19" i="13"/>
  <c r="J19" i="11"/>
  <c r="I19" i="11"/>
  <c r="H19" i="11"/>
  <c r="F19" i="11"/>
  <c r="E19" i="11"/>
  <c r="D19" i="11"/>
  <c r="C19" i="11"/>
  <c r="B19" i="11"/>
  <c r="M19" i="10"/>
  <c r="L19" i="10"/>
  <c r="K19" i="10"/>
  <c r="I19" i="10"/>
  <c r="G19" i="10"/>
  <c r="F19" i="10"/>
  <c r="E19" i="10"/>
  <c r="D19" i="10"/>
  <c r="C19" i="10"/>
  <c r="AH19" i="13" s="1"/>
  <c r="B19" i="10"/>
  <c r="AG19" i="13" s="1"/>
  <c r="AI16" i="13"/>
  <c r="AF16" i="13"/>
  <c r="AC16" i="13"/>
  <c r="AB16" i="13"/>
  <c r="AA16" i="13"/>
  <c r="Y16" i="13"/>
  <c r="X16" i="13"/>
  <c r="W16" i="13"/>
  <c r="V16" i="13"/>
  <c r="T16" i="13"/>
  <c r="S16" i="13"/>
  <c r="R16" i="13"/>
  <c r="Q16" i="13"/>
  <c r="O16" i="13"/>
  <c r="N16" i="13"/>
  <c r="M16" i="13"/>
  <c r="L16" i="13"/>
  <c r="J16" i="13"/>
  <c r="H16" i="13"/>
  <c r="I16" i="13"/>
  <c r="G16" i="13"/>
  <c r="E16" i="13"/>
  <c r="D16" i="13"/>
  <c r="C16" i="13"/>
  <c r="B16" i="13"/>
  <c r="J16" i="11"/>
  <c r="I16" i="11"/>
  <c r="H16" i="11"/>
  <c r="F16" i="11"/>
  <c r="E16" i="11"/>
  <c r="D16" i="11"/>
  <c r="C16" i="11"/>
  <c r="B16" i="11"/>
  <c r="M16" i="10"/>
  <c r="F16" i="10"/>
  <c r="L16" i="10"/>
  <c r="K16" i="10"/>
  <c r="I16" i="10"/>
  <c r="G16" i="10"/>
  <c r="E16" i="10"/>
  <c r="D16" i="10"/>
  <c r="C16" i="10"/>
  <c r="B16" i="10"/>
  <c r="AI9" i="13"/>
  <c r="AF9" i="13"/>
  <c r="AD9" i="13"/>
  <c r="AA9" i="13"/>
  <c r="Y9" i="13"/>
  <c r="X9" i="13"/>
  <c r="W9" i="13"/>
  <c r="V9" i="13"/>
  <c r="T9" i="13"/>
  <c r="S9" i="13"/>
  <c r="R9" i="13"/>
  <c r="Q9" i="13"/>
  <c r="O9" i="13"/>
  <c r="N9" i="13"/>
  <c r="M9" i="13"/>
  <c r="L9" i="13"/>
  <c r="J9" i="13"/>
  <c r="I9" i="13"/>
  <c r="H9" i="13"/>
  <c r="G9" i="13"/>
  <c r="E9" i="13"/>
  <c r="D9" i="13"/>
  <c r="C9" i="13"/>
  <c r="B9" i="13"/>
  <c r="J9" i="11"/>
  <c r="I9" i="11"/>
  <c r="H9" i="11"/>
  <c r="F9" i="11"/>
  <c r="E9" i="11"/>
  <c r="D9" i="11"/>
  <c r="C9" i="11"/>
  <c r="B9" i="11"/>
  <c r="K9" i="10"/>
  <c r="M9" i="10"/>
  <c r="L9" i="10"/>
  <c r="I9" i="10"/>
  <c r="F9" i="10"/>
  <c r="G9" i="10"/>
  <c r="E9" i="10"/>
  <c r="D9" i="10"/>
  <c r="C9" i="10"/>
  <c r="B9" i="10"/>
  <c r="D32" i="8"/>
  <c r="C32" i="8"/>
  <c r="B32" i="8"/>
  <c r="M32" i="7"/>
  <c r="L32" i="7"/>
  <c r="K32" i="7"/>
  <c r="H32" i="7"/>
  <c r="E32" i="7"/>
  <c r="D32" i="7"/>
  <c r="C32" i="7"/>
  <c r="B32" i="7"/>
  <c r="L32" i="6"/>
  <c r="J32" i="6"/>
  <c r="I32" i="6"/>
  <c r="G32" i="6"/>
  <c r="F32" i="6"/>
  <c r="E32" i="6"/>
  <c r="D32" i="6"/>
  <c r="C32" i="6"/>
  <c r="K32" i="8" s="1"/>
  <c r="B32" i="6"/>
  <c r="D25" i="8"/>
  <c r="C25" i="8"/>
  <c r="B25" i="8"/>
  <c r="F26" i="9"/>
  <c r="H26" i="9" s="1"/>
  <c r="M25" i="7"/>
  <c r="L25" i="8" s="1"/>
  <c r="L25" i="7"/>
  <c r="K25" i="7"/>
  <c r="I25" i="7"/>
  <c r="H25" i="7"/>
  <c r="M25" i="8"/>
  <c r="B26" i="9" s="1"/>
  <c r="G25" i="7"/>
  <c r="E25" i="7"/>
  <c r="D25" i="7"/>
  <c r="C25" i="7"/>
  <c r="B25" i="7"/>
  <c r="L25" i="6"/>
  <c r="K25" i="6"/>
  <c r="J25" i="6"/>
  <c r="I25" i="6"/>
  <c r="B25" i="6"/>
  <c r="J25" i="8"/>
  <c r="F25" i="6"/>
  <c r="G25" i="6"/>
  <c r="E25" i="6"/>
  <c r="D25" i="6"/>
  <c r="C25" i="6"/>
  <c r="K25" i="8"/>
  <c r="D22" i="8"/>
  <c r="C22" i="8"/>
  <c r="B22" i="8"/>
  <c r="M22" i="7"/>
  <c r="L22" i="7"/>
  <c r="F22" i="8"/>
  <c r="K22" i="7"/>
  <c r="H22" i="7"/>
  <c r="M22" i="8" s="1"/>
  <c r="E22" i="7"/>
  <c r="D22" i="7"/>
  <c r="C22" i="7"/>
  <c r="B22" i="7"/>
  <c r="G22" i="8"/>
  <c r="L22" i="6"/>
  <c r="J22" i="6"/>
  <c r="I22" i="6"/>
  <c r="G22" i="6"/>
  <c r="F22" i="6"/>
  <c r="D22" i="6"/>
  <c r="C22" i="6"/>
  <c r="K22" i="8" s="1"/>
  <c r="B22" i="6"/>
  <c r="H22" i="6" s="1"/>
  <c r="D29" i="8"/>
  <c r="C29" i="8"/>
  <c r="B29" i="8"/>
  <c r="M29" i="7"/>
  <c r="L29" i="8"/>
  <c r="L29" i="7"/>
  <c r="F29" i="8"/>
  <c r="K29" i="7"/>
  <c r="I29" i="7"/>
  <c r="H29" i="8" s="1"/>
  <c r="H29" i="7"/>
  <c r="M29" i="8" s="1"/>
  <c r="B30" i="9" s="1"/>
  <c r="E30" i="9" s="1"/>
  <c r="G29" i="7"/>
  <c r="E29" i="7"/>
  <c r="D29" i="7"/>
  <c r="C29" i="7"/>
  <c r="B29" i="7"/>
  <c r="G29" i="8" s="1"/>
  <c r="L29" i="6"/>
  <c r="K29" i="6"/>
  <c r="J29" i="6"/>
  <c r="I29" i="6"/>
  <c r="G29" i="6"/>
  <c r="F29" i="6"/>
  <c r="E29" i="6"/>
  <c r="D29" i="6"/>
  <c r="C29" i="6"/>
  <c r="K29" i="8" s="1"/>
  <c r="B29" i="6"/>
  <c r="D26" i="8"/>
  <c r="C26" i="8"/>
  <c r="B26" i="8"/>
  <c r="E26" i="8" s="1"/>
  <c r="M26" i="7"/>
  <c r="L26" i="8"/>
  <c r="L26" i="7"/>
  <c r="K26" i="7"/>
  <c r="H26" i="7"/>
  <c r="E26" i="7"/>
  <c r="D26" i="7"/>
  <c r="C26" i="7"/>
  <c r="B26" i="7"/>
  <c r="K26" i="6"/>
  <c r="L26" i="6"/>
  <c r="J26" i="6"/>
  <c r="I26" i="6"/>
  <c r="G26" i="6"/>
  <c r="F26" i="6"/>
  <c r="D26" i="6"/>
  <c r="C26" i="6"/>
  <c r="K26" i="8"/>
  <c r="B26" i="6"/>
  <c r="D9" i="8"/>
  <c r="C9" i="8"/>
  <c r="B9" i="8"/>
  <c r="F10" i="9" s="1"/>
  <c r="H10" i="9" s="1"/>
  <c r="M9" i="7"/>
  <c r="L9" i="8"/>
  <c r="L9" i="7"/>
  <c r="K9" i="7"/>
  <c r="H9" i="7"/>
  <c r="E9" i="7"/>
  <c r="D9" i="7"/>
  <c r="C9" i="7"/>
  <c r="B9" i="7"/>
  <c r="L9" i="6"/>
  <c r="J9" i="6"/>
  <c r="I9" i="6"/>
  <c r="G9" i="6"/>
  <c r="B9" i="6"/>
  <c r="H9" i="6" s="1"/>
  <c r="J9" i="8"/>
  <c r="F9" i="6"/>
  <c r="E9" i="6"/>
  <c r="E36" i="6" s="1"/>
  <c r="E38" i="6" s="1"/>
  <c r="D9" i="6"/>
  <c r="C9" i="6"/>
  <c r="K9" i="8" s="1"/>
  <c r="D33" i="8"/>
  <c r="C33" i="8"/>
  <c r="B33" i="8"/>
  <c r="M33" i="7"/>
  <c r="L33" i="8"/>
  <c r="L33" i="7"/>
  <c r="K33" i="7"/>
  <c r="E33" i="7"/>
  <c r="H33" i="7"/>
  <c r="I33" i="7"/>
  <c r="H33" i="8"/>
  <c r="D33" i="7"/>
  <c r="C33" i="7"/>
  <c r="B33" i="7"/>
  <c r="L33" i="6"/>
  <c r="J33" i="6"/>
  <c r="I33" i="6"/>
  <c r="G33" i="6"/>
  <c r="F33" i="6"/>
  <c r="D33" i="6"/>
  <c r="C33" i="6"/>
  <c r="B33" i="6"/>
  <c r="D35" i="8"/>
  <c r="C35" i="8"/>
  <c r="B35" i="8"/>
  <c r="M35" i="7"/>
  <c r="L35" i="7"/>
  <c r="K35" i="7"/>
  <c r="H35" i="7"/>
  <c r="M35" i="8" s="1"/>
  <c r="B36" i="9" s="1"/>
  <c r="E36" i="9" s="1"/>
  <c r="E35" i="7"/>
  <c r="D35" i="7"/>
  <c r="C35" i="7"/>
  <c r="B35" i="7"/>
  <c r="K35" i="6"/>
  <c r="L35" i="6"/>
  <c r="J35" i="6"/>
  <c r="I35" i="6"/>
  <c r="F35" i="6"/>
  <c r="G35" i="6"/>
  <c r="D35" i="6"/>
  <c r="C35" i="6"/>
  <c r="B35" i="6"/>
  <c r="D27" i="8"/>
  <c r="C27" i="8"/>
  <c r="B27" i="8"/>
  <c r="M27" i="7"/>
  <c r="L27" i="7"/>
  <c r="F27" i="8"/>
  <c r="K27" i="7"/>
  <c r="E27" i="7"/>
  <c r="I27" i="7"/>
  <c r="H27" i="8"/>
  <c r="H27" i="7"/>
  <c r="M27" i="8"/>
  <c r="B28" i="9" s="1"/>
  <c r="D28" i="9" s="1"/>
  <c r="G27" i="7"/>
  <c r="I27" i="8"/>
  <c r="D27" i="7"/>
  <c r="C27" i="7"/>
  <c r="B27" i="7"/>
  <c r="G27" i="8"/>
  <c r="F27" i="6"/>
  <c r="L27" i="6"/>
  <c r="J27" i="6"/>
  <c r="I27" i="6"/>
  <c r="M27" i="6" s="1"/>
  <c r="G27" i="6"/>
  <c r="E27" i="6"/>
  <c r="D27" i="6"/>
  <c r="C27" i="6"/>
  <c r="B27" i="6"/>
  <c r="D24" i="8"/>
  <c r="C24" i="8"/>
  <c r="B24" i="8"/>
  <c r="E24" i="8" s="1"/>
  <c r="M24" i="7"/>
  <c r="L24" i="7"/>
  <c r="K24" i="7"/>
  <c r="E24" i="7"/>
  <c r="I24" i="7"/>
  <c r="H24" i="7"/>
  <c r="M24" i="8" s="1"/>
  <c r="B25" i="9" s="1"/>
  <c r="E25" i="9" s="1"/>
  <c r="G24" i="7"/>
  <c r="I24" i="8" s="1"/>
  <c r="D24" i="7"/>
  <c r="C24" i="7"/>
  <c r="B24" i="7"/>
  <c r="L24" i="6"/>
  <c r="J24" i="6"/>
  <c r="I24" i="6"/>
  <c r="G24" i="6"/>
  <c r="F24" i="6"/>
  <c r="E24" i="6"/>
  <c r="D24" i="6"/>
  <c r="C24" i="6"/>
  <c r="K24" i="8" s="1"/>
  <c r="B24" i="6"/>
  <c r="B28" i="12"/>
  <c r="D5" i="8"/>
  <c r="D36" i="8" s="1"/>
  <c r="C5" i="8"/>
  <c r="B5" i="8"/>
  <c r="B36" i="8" s="1"/>
  <c r="B38" i="8" s="1"/>
  <c r="B10" i="2" s="1"/>
  <c r="M5" i="7"/>
  <c r="L5" i="7"/>
  <c r="L36" i="7" s="1"/>
  <c r="L38" i="7" s="1"/>
  <c r="K5" i="7"/>
  <c r="I5" i="7"/>
  <c r="H5" i="7"/>
  <c r="H36" i="7" s="1"/>
  <c r="H38" i="7" s="1"/>
  <c r="D5" i="7"/>
  <c r="D36" i="7" s="1"/>
  <c r="D38" i="7" s="1"/>
  <c r="B26" i="2" s="1"/>
  <c r="C5" i="7"/>
  <c r="B5" i="7"/>
  <c r="B36" i="7" s="1"/>
  <c r="B38" i="7" s="1"/>
  <c r="B24" i="2" s="1"/>
  <c r="B28" i="2" s="1"/>
  <c r="L5" i="6"/>
  <c r="K5" i="6"/>
  <c r="K36" i="6" s="1"/>
  <c r="K38" i="6" s="1"/>
  <c r="J5" i="6"/>
  <c r="I5" i="6"/>
  <c r="F5" i="6"/>
  <c r="G5" i="6"/>
  <c r="G36" i="6" s="1"/>
  <c r="G38" i="6" s="1"/>
  <c r="D5" i="6"/>
  <c r="B5" i="6"/>
  <c r="J5" i="8" s="1"/>
  <c r="C5" i="6"/>
  <c r="C36" i="6" s="1"/>
  <c r="C38" i="6" s="1"/>
  <c r="D12" i="8"/>
  <c r="C12" i="8"/>
  <c r="B12" i="8"/>
  <c r="M12" i="7"/>
  <c r="L12" i="7"/>
  <c r="K12" i="7"/>
  <c r="I12" i="7"/>
  <c r="H12" i="8"/>
  <c r="H12" i="7"/>
  <c r="M12" i="8"/>
  <c r="B13" i="9" s="1"/>
  <c r="D13" i="9" s="1"/>
  <c r="G12" i="7"/>
  <c r="I12" i="8"/>
  <c r="E12" i="7"/>
  <c r="D12" i="7"/>
  <c r="C12" i="7"/>
  <c r="B12" i="7"/>
  <c r="G12" i="8" s="1"/>
  <c r="L12" i="6"/>
  <c r="J12" i="6"/>
  <c r="I12" i="6"/>
  <c r="M12" i="6" s="1"/>
  <c r="G12" i="6"/>
  <c r="F12" i="6"/>
  <c r="E12" i="6"/>
  <c r="D12" i="6"/>
  <c r="C12" i="6"/>
  <c r="B12" i="6"/>
  <c r="D10" i="8"/>
  <c r="C10" i="8"/>
  <c r="E10" i="8" s="1"/>
  <c r="B10" i="8"/>
  <c r="M10" i="7"/>
  <c r="L10" i="8" s="1"/>
  <c r="L10" i="7"/>
  <c r="K10" i="7"/>
  <c r="E10" i="7"/>
  <c r="H10" i="7"/>
  <c r="M10" i="8"/>
  <c r="I10" i="7"/>
  <c r="G10" i="7"/>
  <c r="G36" i="7" s="1"/>
  <c r="G38" i="7" s="1"/>
  <c r="D10" i="7"/>
  <c r="C10" i="7"/>
  <c r="B10" i="7"/>
  <c r="L10" i="6"/>
  <c r="K10" i="6"/>
  <c r="J10" i="6"/>
  <c r="I10" i="6"/>
  <c r="G10" i="6"/>
  <c r="F10" i="6"/>
  <c r="E10" i="6"/>
  <c r="D10" i="6"/>
  <c r="H10" i="6" s="1"/>
  <c r="N10" i="8" s="1"/>
  <c r="C10" i="6"/>
  <c r="K10" i="8"/>
  <c r="B10" i="6"/>
  <c r="J10" i="8"/>
  <c r="AI17" i="13"/>
  <c r="AF17" i="13"/>
  <c r="AE17" i="13"/>
  <c r="AD17" i="13"/>
  <c r="AB17" i="13"/>
  <c r="AA17" i="13"/>
  <c r="Y17" i="13"/>
  <c r="X17" i="13"/>
  <c r="W17" i="13"/>
  <c r="V17" i="13"/>
  <c r="T17" i="13"/>
  <c r="S17" i="13"/>
  <c r="R17" i="13"/>
  <c r="Q17" i="13"/>
  <c r="O17" i="13"/>
  <c r="N17" i="13"/>
  <c r="M17" i="13"/>
  <c r="L17" i="13"/>
  <c r="J17" i="13"/>
  <c r="I17" i="13"/>
  <c r="H17" i="13"/>
  <c r="G17" i="13"/>
  <c r="E17" i="13"/>
  <c r="D17" i="13"/>
  <c r="C17" i="13"/>
  <c r="B17" i="13"/>
  <c r="J17" i="11"/>
  <c r="B18" i="13"/>
  <c r="F18" i="13" s="1"/>
  <c r="I17" i="11"/>
  <c r="H17" i="11"/>
  <c r="F17" i="11"/>
  <c r="E17" i="11"/>
  <c r="D17" i="11"/>
  <c r="C17" i="11"/>
  <c r="B17" i="11"/>
  <c r="M17" i="10"/>
  <c r="L17" i="10"/>
  <c r="K17" i="10"/>
  <c r="J17" i="10"/>
  <c r="I17" i="10"/>
  <c r="G17" i="10"/>
  <c r="F17" i="10"/>
  <c r="E17" i="10"/>
  <c r="D17" i="10"/>
  <c r="C17" i="10"/>
  <c r="AH17" i="13" s="1"/>
  <c r="B17" i="10"/>
  <c r="AI47" i="13"/>
  <c r="AF47" i="13"/>
  <c r="AE47" i="13"/>
  <c r="AD47" i="13"/>
  <c r="AC47" i="13"/>
  <c r="AB47" i="13"/>
  <c r="AA47" i="13"/>
  <c r="Y47" i="13"/>
  <c r="X47" i="13"/>
  <c r="W47" i="13"/>
  <c r="V47" i="13"/>
  <c r="T47" i="13"/>
  <c r="S47" i="13"/>
  <c r="R47" i="13"/>
  <c r="Q47" i="13"/>
  <c r="O47" i="13"/>
  <c r="N47" i="13"/>
  <c r="M47" i="13"/>
  <c r="L47" i="13"/>
  <c r="J47" i="13"/>
  <c r="I47" i="13"/>
  <c r="H47" i="13"/>
  <c r="G47" i="13"/>
  <c r="E47" i="13"/>
  <c r="D47" i="13"/>
  <c r="C47" i="13"/>
  <c r="B47" i="13"/>
  <c r="J47" i="11"/>
  <c r="I47" i="11"/>
  <c r="H47" i="11"/>
  <c r="F47" i="11"/>
  <c r="E47" i="11"/>
  <c r="D47" i="11"/>
  <c r="C47" i="11"/>
  <c r="B47" i="11"/>
  <c r="J32" i="11"/>
  <c r="I32" i="11"/>
  <c r="H32" i="11"/>
  <c r="K32" i="11" s="1"/>
  <c r="F32" i="11"/>
  <c r="E32" i="11"/>
  <c r="D32" i="11"/>
  <c r="C32" i="11"/>
  <c r="B32" i="11"/>
  <c r="F24" i="11"/>
  <c r="M47" i="10"/>
  <c r="L47" i="10"/>
  <c r="K47" i="10"/>
  <c r="I47" i="10"/>
  <c r="G47" i="10"/>
  <c r="F47" i="10"/>
  <c r="E47" i="10"/>
  <c r="D47" i="10"/>
  <c r="C47" i="10"/>
  <c r="AH47" i="13"/>
  <c r="B47" i="10"/>
  <c r="AI24" i="13"/>
  <c r="AF24" i="13"/>
  <c r="AE24" i="13"/>
  <c r="AD24" i="13"/>
  <c r="AC24" i="13"/>
  <c r="AB24" i="13"/>
  <c r="AA24" i="13"/>
  <c r="Y24" i="13"/>
  <c r="X24" i="13"/>
  <c r="W24" i="13"/>
  <c r="V24" i="13"/>
  <c r="T24" i="13"/>
  <c r="S24" i="13"/>
  <c r="R24" i="13"/>
  <c r="Q24" i="13"/>
  <c r="M24" i="13"/>
  <c r="O24" i="13"/>
  <c r="N24" i="13"/>
  <c r="L24" i="13"/>
  <c r="J24" i="13"/>
  <c r="I24" i="13"/>
  <c r="H24" i="13"/>
  <c r="G24" i="13"/>
  <c r="E24" i="13"/>
  <c r="D24" i="13"/>
  <c r="C24" i="13"/>
  <c r="B24" i="13"/>
  <c r="T27" i="13"/>
  <c r="S27" i="13"/>
  <c r="R27" i="13"/>
  <c r="Q27" i="13"/>
  <c r="O27" i="13"/>
  <c r="N27" i="13"/>
  <c r="M27" i="13"/>
  <c r="L27" i="13"/>
  <c r="J27" i="13"/>
  <c r="I27" i="13"/>
  <c r="H27" i="13"/>
  <c r="G27" i="13"/>
  <c r="E27" i="13"/>
  <c r="D27" i="13"/>
  <c r="C27" i="13"/>
  <c r="B27" i="13"/>
  <c r="J24" i="11"/>
  <c r="I24" i="11"/>
  <c r="H24" i="11"/>
  <c r="E24" i="11"/>
  <c r="D24" i="11"/>
  <c r="C24" i="11"/>
  <c r="B24" i="11"/>
  <c r="K24" i="10"/>
  <c r="M24" i="10"/>
  <c r="L24" i="10"/>
  <c r="I24" i="10"/>
  <c r="G24" i="10"/>
  <c r="F24" i="10"/>
  <c r="E24" i="10"/>
  <c r="D24" i="10"/>
  <c r="C24" i="10"/>
  <c r="AH24" i="13" s="1"/>
  <c r="B24" i="10"/>
  <c r="AI5" i="13"/>
  <c r="AF5" i="13"/>
  <c r="AE5" i="13"/>
  <c r="AD5" i="13"/>
  <c r="AC5" i="13"/>
  <c r="AB5" i="13"/>
  <c r="AA5" i="13"/>
  <c r="Y5" i="13"/>
  <c r="X5" i="13"/>
  <c r="W5" i="13"/>
  <c r="V5" i="13"/>
  <c r="T5" i="13"/>
  <c r="S5" i="13"/>
  <c r="R5" i="13"/>
  <c r="Q5" i="13"/>
  <c r="O5" i="13"/>
  <c r="N5" i="13"/>
  <c r="M5" i="13"/>
  <c r="L5" i="13"/>
  <c r="J5" i="13"/>
  <c r="I5" i="13"/>
  <c r="H5" i="13"/>
  <c r="G5" i="13"/>
  <c r="E5" i="13"/>
  <c r="D5" i="13"/>
  <c r="C5" i="13"/>
  <c r="B5" i="13"/>
  <c r="J5" i="11"/>
  <c r="I5" i="11"/>
  <c r="H5" i="11"/>
  <c r="F5" i="11"/>
  <c r="E5" i="11"/>
  <c r="D5" i="11"/>
  <c r="C5" i="11"/>
  <c r="B5" i="11"/>
  <c r="M5" i="10"/>
  <c r="L5" i="10"/>
  <c r="K5" i="10"/>
  <c r="I5" i="10"/>
  <c r="G5" i="10"/>
  <c r="F5" i="10"/>
  <c r="E5" i="10"/>
  <c r="D5" i="10"/>
  <c r="C5" i="10"/>
  <c r="B5" i="10"/>
  <c r="AI35" i="13"/>
  <c r="AF35" i="13"/>
  <c r="AE35" i="13"/>
  <c r="AD35" i="13"/>
  <c r="AC35" i="13"/>
  <c r="AB35" i="13"/>
  <c r="AA35" i="13"/>
  <c r="Y35" i="13"/>
  <c r="X35" i="13"/>
  <c r="W35" i="13"/>
  <c r="V35" i="13"/>
  <c r="T35" i="13"/>
  <c r="S35" i="13"/>
  <c r="R35" i="13"/>
  <c r="Q35" i="13"/>
  <c r="O35" i="13"/>
  <c r="N35" i="13"/>
  <c r="M35" i="13"/>
  <c r="L35" i="13"/>
  <c r="J35" i="13"/>
  <c r="I35" i="13"/>
  <c r="H35" i="13"/>
  <c r="G35" i="13"/>
  <c r="E35" i="13"/>
  <c r="D35" i="13"/>
  <c r="C35" i="13"/>
  <c r="B35" i="13"/>
  <c r="J35" i="11"/>
  <c r="I35" i="11"/>
  <c r="H35" i="11"/>
  <c r="B35" i="11"/>
  <c r="F35" i="11"/>
  <c r="E35" i="11"/>
  <c r="D35" i="11"/>
  <c r="C35" i="11"/>
  <c r="M35" i="10"/>
  <c r="L35" i="10"/>
  <c r="K35" i="10"/>
  <c r="I35" i="10"/>
  <c r="G35" i="10"/>
  <c r="F35" i="10"/>
  <c r="E35" i="10"/>
  <c r="D35" i="10"/>
  <c r="C35" i="10"/>
  <c r="B35" i="10"/>
  <c r="AI27" i="13"/>
  <c r="AF27" i="13"/>
  <c r="AE27" i="13"/>
  <c r="AA27" i="13"/>
  <c r="AD27" i="13"/>
  <c r="AB27" i="13"/>
  <c r="Y27" i="13"/>
  <c r="X27" i="13"/>
  <c r="W27" i="13"/>
  <c r="V27" i="13"/>
  <c r="J27" i="11"/>
  <c r="I27" i="11"/>
  <c r="H27" i="11"/>
  <c r="F27" i="11"/>
  <c r="E27" i="11"/>
  <c r="D27" i="11"/>
  <c r="C27" i="11"/>
  <c r="B27" i="11"/>
  <c r="M27" i="10"/>
  <c r="L27" i="10"/>
  <c r="K27" i="10"/>
  <c r="I27" i="10"/>
  <c r="G27" i="10"/>
  <c r="F27" i="10"/>
  <c r="B27" i="10"/>
  <c r="E27" i="10"/>
  <c r="D27" i="10"/>
  <c r="C27" i="10"/>
  <c r="AI34" i="13"/>
  <c r="AF34" i="13"/>
  <c r="AE34" i="13"/>
  <c r="AD34" i="13"/>
  <c r="AB34" i="13"/>
  <c r="AA34" i="13"/>
  <c r="Y34" i="13"/>
  <c r="X34" i="13"/>
  <c r="W34" i="13"/>
  <c r="V34" i="13"/>
  <c r="T34" i="13"/>
  <c r="S34" i="13"/>
  <c r="R34" i="13"/>
  <c r="Q34" i="13"/>
  <c r="O34" i="13"/>
  <c r="N34" i="13"/>
  <c r="M34" i="13"/>
  <c r="L34" i="13"/>
  <c r="J34" i="13"/>
  <c r="I34" i="13"/>
  <c r="H34" i="13"/>
  <c r="G34" i="13"/>
  <c r="E34" i="13"/>
  <c r="D34" i="13"/>
  <c r="C34" i="13"/>
  <c r="B34" i="13"/>
  <c r="J34" i="11"/>
  <c r="I34" i="11"/>
  <c r="H34" i="11"/>
  <c r="F34" i="11"/>
  <c r="E34" i="11"/>
  <c r="D34" i="11"/>
  <c r="C34" i="11"/>
  <c r="B34" i="11"/>
  <c r="M34" i="10"/>
  <c r="L34" i="10"/>
  <c r="K34" i="10"/>
  <c r="I34" i="10"/>
  <c r="G34" i="10"/>
  <c r="F34" i="10"/>
  <c r="D34" i="10"/>
  <c r="C34" i="10"/>
  <c r="B34" i="10"/>
  <c r="AI29" i="13"/>
  <c r="AF29" i="13"/>
  <c r="AE29" i="13"/>
  <c r="AD29" i="13"/>
  <c r="AC29" i="13"/>
  <c r="AB29" i="13"/>
  <c r="AA29" i="13"/>
  <c r="Y29" i="13"/>
  <c r="X29" i="13"/>
  <c r="W29" i="13"/>
  <c r="V29" i="13"/>
  <c r="T29" i="13"/>
  <c r="S29" i="13"/>
  <c r="R29" i="13"/>
  <c r="Q29" i="13"/>
  <c r="O29" i="13"/>
  <c r="N29" i="13"/>
  <c r="M29" i="13"/>
  <c r="L29" i="13"/>
  <c r="J29" i="13"/>
  <c r="I29" i="13"/>
  <c r="H29" i="13"/>
  <c r="G29" i="13"/>
  <c r="E29" i="13"/>
  <c r="D29" i="13"/>
  <c r="C29" i="13"/>
  <c r="B29" i="13"/>
  <c r="J29" i="11"/>
  <c r="I29" i="11"/>
  <c r="H29" i="11"/>
  <c r="F29" i="11"/>
  <c r="E29" i="11"/>
  <c r="D29" i="11"/>
  <c r="C29" i="11"/>
  <c r="B29" i="11"/>
  <c r="M29" i="10"/>
  <c r="I29" i="10"/>
  <c r="L29" i="10"/>
  <c r="K29" i="10"/>
  <c r="G29" i="10"/>
  <c r="F29" i="10"/>
  <c r="E29" i="10"/>
  <c r="D29" i="10"/>
  <c r="C29" i="10"/>
  <c r="AH29" i="13"/>
  <c r="B29" i="10"/>
  <c r="AI32" i="13"/>
  <c r="AF32" i="13"/>
  <c r="AE32" i="13"/>
  <c r="AD32" i="13"/>
  <c r="AC32" i="13"/>
  <c r="AB32" i="13"/>
  <c r="AA32" i="13"/>
  <c r="X32" i="13"/>
  <c r="Y32" i="13"/>
  <c r="W32" i="13"/>
  <c r="V32" i="13"/>
  <c r="T32" i="13"/>
  <c r="S32" i="13"/>
  <c r="R32" i="13"/>
  <c r="Q32" i="13"/>
  <c r="O32" i="13"/>
  <c r="N32" i="13"/>
  <c r="M32" i="13"/>
  <c r="L32" i="13"/>
  <c r="I32" i="13"/>
  <c r="J32" i="13"/>
  <c r="H32" i="13"/>
  <c r="G32" i="13"/>
  <c r="E32" i="13"/>
  <c r="D32" i="13"/>
  <c r="C32" i="13"/>
  <c r="B32" i="13"/>
  <c r="M32" i="10"/>
  <c r="I32" i="10"/>
  <c r="L32" i="10"/>
  <c r="K32" i="10"/>
  <c r="G32" i="10"/>
  <c r="F32" i="10"/>
  <c r="E32" i="10"/>
  <c r="D32" i="10"/>
  <c r="C32" i="10"/>
  <c r="B32" i="10"/>
  <c r="AI36" i="13"/>
  <c r="AF36" i="13"/>
  <c r="AE36" i="13"/>
  <c r="AD36" i="13"/>
  <c r="AC36" i="13"/>
  <c r="AB36" i="13"/>
  <c r="AA36" i="13"/>
  <c r="Y36" i="13"/>
  <c r="X36" i="13"/>
  <c r="W36" i="13"/>
  <c r="V36" i="13"/>
  <c r="T36" i="13"/>
  <c r="S36" i="13"/>
  <c r="R36" i="13"/>
  <c r="Q36" i="13"/>
  <c r="O36" i="13"/>
  <c r="N36" i="13"/>
  <c r="M36" i="13"/>
  <c r="L36" i="13"/>
  <c r="J36" i="13"/>
  <c r="I36" i="13"/>
  <c r="H36" i="13"/>
  <c r="G36" i="13"/>
  <c r="E36" i="13"/>
  <c r="C36" i="13"/>
  <c r="D36" i="13"/>
  <c r="B36" i="13"/>
  <c r="J36" i="11"/>
  <c r="I36" i="11"/>
  <c r="H36" i="11"/>
  <c r="F36" i="11"/>
  <c r="E36" i="11"/>
  <c r="D36" i="11"/>
  <c r="C36" i="11"/>
  <c r="B36" i="11"/>
  <c r="M36" i="10"/>
  <c r="L36" i="10"/>
  <c r="K36" i="10"/>
  <c r="I36" i="10"/>
  <c r="G36" i="10"/>
  <c r="F36" i="10"/>
  <c r="E36" i="10"/>
  <c r="D36" i="10"/>
  <c r="C36" i="10"/>
  <c r="B36" i="10"/>
  <c r="AI41" i="13"/>
  <c r="AF41" i="13"/>
  <c r="AE41" i="13"/>
  <c r="AD41" i="13"/>
  <c r="AB41" i="13"/>
  <c r="AA41" i="13"/>
  <c r="Y41" i="13"/>
  <c r="X41" i="13"/>
  <c r="W41" i="13"/>
  <c r="V41" i="13"/>
  <c r="T41" i="13"/>
  <c r="S41" i="13"/>
  <c r="R41" i="13"/>
  <c r="Q41" i="13"/>
  <c r="O41" i="13"/>
  <c r="N41" i="13"/>
  <c r="M41" i="13"/>
  <c r="L41" i="13"/>
  <c r="J41" i="13"/>
  <c r="I41" i="13"/>
  <c r="H41" i="13"/>
  <c r="G41" i="13"/>
  <c r="E41" i="13"/>
  <c r="D41" i="13"/>
  <c r="C41" i="13"/>
  <c r="B41" i="13"/>
  <c r="J41" i="11"/>
  <c r="I41" i="11"/>
  <c r="H41" i="11"/>
  <c r="F41" i="11"/>
  <c r="E41" i="11"/>
  <c r="D41" i="11"/>
  <c r="C41" i="11"/>
  <c r="B41" i="11"/>
  <c r="G41" i="11" s="1"/>
  <c r="M41" i="10"/>
  <c r="L41" i="10"/>
  <c r="K41" i="10"/>
  <c r="I41" i="10"/>
  <c r="G41" i="10"/>
  <c r="F41" i="10"/>
  <c r="E41" i="10"/>
  <c r="D41" i="10"/>
  <c r="C41" i="10"/>
  <c r="AH41" i="13"/>
  <c r="B41" i="10"/>
  <c r="AI30" i="13"/>
  <c r="AF30" i="13"/>
  <c r="AE30" i="13"/>
  <c r="AD30" i="13"/>
  <c r="AC30" i="13"/>
  <c r="AB30" i="13"/>
  <c r="AA30" i="13"/>
  <c r="Y30" i="13"/>
  <c r="X30" i="13"/>
  <c r="W30" i="13"/>
  <c r="V30" i="13"/>
  <c r="T30" i="13"/>
  <c r="S30" i="13"/>
  <c r="R30" i="13"/>
  <c r="Q30" i="13"/>
  <c r="O30" i="13"/>
  <c r="N30" i="13"/>
  <c r="M30" i="13"/>
  <c r="L30" i="13"/>
  <c r="J30" i="13"/>
  <c r="I30" i="13"/>
  <c r="H30" i="13"/>
  <c r="G30" i="13"/>
  <c r="E30" i="13"/>
  <c r="D30" i="13"/>
  <c r="C30" i="13"/>
  <c r="B30" i="13"/>
  <c r="J30" i="11"/>
  <c r="I30" i="11"/>
  <c r="H30" i="11"/>
  <c r="F30" i="11"/>
  <c r="E30" i="11"/>
  <c r="D30" i="11"/>
  <c r="C30" i="11"/>
  <c r="B30" i="11"/>
  <c r="M30" i="10"/>
  <c r="L30" i="10"/>
  <c r="K30" i="10"/>
  <c r="I30" i="10"/>
  <c r="G30" i="10"/>
  <c r="F30" i="10"/>
  <c r="E30" i="10"/>
  <c r="D30" i="10"/>
  <c r="C30" i="10"/>
  <c r="AH30" i="13"/>
  <c r="B30" i="10"/>
  <c r="AG30" i="13"/>
  <c r="AI37" i="13"/>
  <c r="AF37" i="13"/>
  <c r="AE37" i="13"/>
  <c r="AD37" i="13"/>
  <c r="AB37" i="13"/>
  <c r="AA37" i="13"/>
  <c r="Y37" i="13"/>
  <c r="X37" i="13"/>
  <c r="W37" i="13"/>
  <c r="V37" i="13"/>
  <c r="T37" i="13"/>
  <c r="S37" i="13"/>
  <c r="R37" i="13"/>
  <c r="Q37" i="13"/>
  <c r="O37" i="13"/>
  <c r="N37" i="13"/>
  <c r="M37" i="13"/>
  <c r="L37" i="13"/>
  <c r="J37" i="13"/>
  <c r="I37" i="13"/>
  <c r="H37" i="13"/>
  <c r="G37" i="13"/>
  <c r="E37" i="13"/>
  <c r="D37" i="13"/>
  <c r="C37" i="13"/>
  <c r="B37" i="13"/>
  <c r="J37" i="11"/>
  <c r="I37" i="11"/>
  <c r="H37" i="11"/>
  <c r="F37" i="11"/>
  <c r="E37" i="11"/>
  <c r="D37" i="11"/>
  <c r="C37" i="11"/>
  <c r="B37" i="11"/>
  <c r="M37" i="10"/>
  <c r="L37" i="10"/>
  <c r="K37" i="10"/>
  <c r="J37" i="10"/>
  <c r="I37" i="10"/>
  <c r="G37" i="10"/>
  <c r="F37" i="10"/>
  <c r="E37" i="10"/>
  <c r="D37" i="10"/>
  <c r="C37" i="10"/>
  <c r="B37" i="10"/>
  <c r="AG37" i="13"/>
  <c r="AI46" i="13"/>
  <c r="AF46" i="13"/>
  <c r="AE46" i="13"/>
  <c r="AD46" i="13"/>
  <c r="AC46" i="13"/>
  <c r="AB46" i="13"/>
  <c r="AA46" i="13"/>
  <c r="Y46" i="13"/>
  <c r="X46" i="13"/>
  <c r="W46" i="13"/>
  <c r="V46" i="13"/>
  <c r="T46" i="13"/>
  <c r="S46" i="13"/>
  <c r="R46" i="13"/>
  <c r="Q46" i="13"/>
  <c r="O46" i="13"/>
  <c r="N46" i="13"/>
  <c r="M46" i="13"/>
  <c r="L46" i="13"/>
  <c r="J46" i="13"/>
  <c r="I46" i="13"/>
  <c r="H46" i="13"/>
  <c r="G46" i="13"/>
  <c r="E46" i="13"/>
  <c r="D46" i="13"/>
  <c r="C46" i="13"/>
  <c r="B46" i="13"/>
  <c r="J46" i="11"/>
  <c r="I46" i="11"/>
  <c r="H46" i="11"/>
  <c r="B46" i="11"/>
  <c r="F46" i="11"/>
  <c r="E46" i="11"/>
  <c r="D46" i="11"/>
  <c r="C46" i="11"/>
  <c r="M46" i="10"/>
  <c r="L46" i="10"/>
  <c r="K46" i="10"/>
  <c r="I46" i="10"/>
  <c r="G46" i="10"/>
  <c r="B46" i="10"/>
  <c r="F46" i="10"/>
  <c r="E46" i="10"/>
  <c r="D46" i="10"/>
  <c r="C46" i="10"/>
  <c r="AI8" i="13"/>
  <c r="AF8" i="13"/>
  <c r="AE8" i="13"/>
  <c r="AD8" i="13"/>
  <c r="AC8" i="13"/>
  <c r="AB8" i="13"/>
  <c r="AA8" i="13"/>
  <c r="Y8" i="13"/>
  <c r="X8" i="13"/>
  <c r="W8" i="13"/>
  <c r="V8" i="13"/>
  <c r="T8" i="13"/>
  <c r="S8" i="13"/>
  <c r="R8" i="13"/>
  <c r="Q8" i="13"/>
  <c r="O8" i="13"/>
  <c r="N8" i="13"/>
  <c r="M8" i="13"/>
  <c r="L8" i="13"/>
  <c r="J8" i="13"/>
  <c r="I8" i="13"/>
  <c r="H8" i="13"/>
  <c r="G8" i="13"/>
  <c r="E8" i="13"/>
  <c r="D8" i="13"/>
  <c r="C8" i="13"/>
  <c r="B8" i="13"/>
  <c r="J8" i="11"/>
  <c r="I8" i="11"/>
  <c r="H8" i="11"/>
  <c r="K8" i="11" s="1"/>
  <c r="F8" i="11"/>
  <c r="E8" i="11"/>
  <c r="D8" i="11"/>
  <c r="C8" i="11"/>
  <c r="B8" i="11"/>
  <c r="M8" i="10"/>
  <c r="L8" i="10"/>
  <c r="K8" i="10"/>
  <c r="J8" i="10"/>
  <c r="I8" i="10"/>
  <c r="G8" i="10"/>
  <c r="F8" i="10"/>
  <c r="E8" i="10"/>
  <c r="D8" i="10"/>
  <c r="C8" i="10"/>
  <c r="AH8" i="13"/>
  <c r="B8" i="10"/>
  <c r="AG8" i="13"/>
  <c r="AI12" i="13"/>
  <c r="AF12" i="13"/>
  <c r="AE12" i="13"/>
  <c r="AD12" i="13"/>
  <c r="AB12" i="13"/>
  <c r="AA12" i="13"/>
  <c r="Y12" i="13"/>
  <c r="X12" i="13"/>
  <c r="W12" i="13"/>
  <c r="V12" i="13"/>
  <c r="T12" i="13"/>
  <c r="S12" i="13"/>
  <c r="R12" i="13"/>
  <c r="Q12" i="13"/>
  <c r="O12" i="13"/>
  <c r="N12" i="13"/>
  <c r="M12" i="13"/>
  <c r="L12" i="13"/>
  <c r="J12" i="13"/>
  <c r="I12" i="13"/>
  <c r="H12" i="13"/>
  <c r="G12" i="13"/>
  <c r="D12" i="13"/>
  <c r="E12" i="13"/>
  <c r="C12" i="13"/>
  <c r="B12" i="13"/>
  <c r="J12" i="11"/>
  <c r="I12" i="11"/>
  <c r="H12" i="11"/>
  <c r="F12" i="11"/>
  <c r="E12" i="11"/>
  <c r="D12" i="11"/>
  <c r="C12" i="11"/>
  <c r="B12" i="11"/>
  <c r="D12" i="10"/>
  <c r="M12" i="10"/>
  <c r="L12" i="10"/>
  <c r="K12" i="10"/>
  <c r="J12" i="10"/>
  <c r="I12" i="10"/>
  <c r="G12" i="10"/>
  <c r="F12" i="10"/>
  <c r="E12" i="10"/>
  <c r="C12" i="10"/>
  <c r="B13" i="10"/>
  <c r="B12" i="10"/>
  <c r="AI39" i="13"/>
  <c r="AF39" i="13"/>
  <c r="AE39" i="13"/>
  <c r="AD39" i="13"/>
  <c r="AC39" i="13"/>
  <c r="AA39" i="13"/>
  <c r="Y39" i="13"/>
  <c r="X39" i="13"/>
  <c r="W39" i="13"/>
  <c r="V39" i="13"/>
  <c r="T39" i="13"/>
  <c r="S39" i="13"/>
  <c r="R39" i="13"/>
  <c r="Q39" i="13"/>
  <c r="O39" i="13"/>
  <c r="N39" i="13"/>
  <c r="M39" i="13"/>
  <c r="L39" i="13"/>
  <c r="J39" i="13"/>
  <c r="I39" i="13"/>
  <c r="H39" i="13"/>
  <c r="G39" i="13"/>
  <c r="E39" i="13"/>
  <c r="D39" i="13"/>
  <c r="C39" i="13"/>
  <c r="B39" i="13"/>
  <c r="J39" i="11"/>
  <c r="I39" i="11"/>
  <c r="H39" i="11"/>
  <c r="F39" i="11"/>
  <c r="E39" i="11"/>
  <c r="D39" i="11"/>
  <c r="C39" i="11"/>
  <c r="B39" i="11"/>
  <c r="M39" i="10"/>
  <c r="L39" i="10"/>
  <c r="K39" i="10"/>
  <c r="I39" i="10"/>
  <c r="G39" i="10"/>
  <c r="F39" i="10"/>
  <c r="D39" i="10"/>
  <c r="C39" i="10"/>
  <c r="B39" i="10"/>
  <c r="AI40" i="13"/>
  <c r="AF40" i="13"/>
  <c r="AE40" i="13"/>
  <c r="AD40" i="13"/>
  <c r="AB40" i="13"/>
  <c r="AA40" i="13"/>
  <c r="Y40" i="13"/>
  <c r="X40" i="13"/>
  <c r="W40" i="13"/>
  <c r="V40" i="13"/>
  <c r="T40" i="13"/>
  <c r="S40" i="13"/>
  <c r="R40" i="13"/>
  <c r="Q40" i="13"/>
  <c r="O40" i="13"/>
  <c r="N40" i="13"/>
  <c r="M40" i="13"/>
  <c r="L40" i="13"/>
  <c r="I40" i="13"/>
  <c r="H40" i="13"/>
  <c r="J40" i="13"/>
  <c r="G40" i="13"/>
  <c r="E40" i="13"/>
  <c r="D40" i="13"/>
  <c r="C40" i="13"/>
  <c r="B40" i="13"/>
  <c r="J40" i="11"/>
  <c r="I40" i="11"/>
  <c r="H40" i="11"/>
  <c r="K40" i="11" s="1"/>
  <c r="F40" i="11"/>
  <c r="E40" i="11"/>
  <c r="D40" i="11"/>
  <c r="C40" i="11"/>
  <c r="B40" i="11"/>
  <c r="M40" i="10"/>
  <c r="I40" i="10"/>
  <c r="K40" i="10"/>
  <c r="L40" i="10"/>
  <c r="J40" i="10"/>
  <c r="G40" i="10"/>
  <c r="F40" i="10"/>
  <c r="E40" i="10"/>
  <c r="D40" i="10"/>
  <c r="C40" i="10"/>
  <c r="AH40" i="13" s="1"/>
  <c r="B40" i="10"/>
  <c r="AI13" i="13"/>
  <c r="AF13" i="13"/>
  <c r="AE13" i="13"/>
  <c r="AD13" i="13"/>
  <c r="AC13" i="13"/>
  <c r="AB13" i="13"/>
  <c r="AA13" i="13"/>
  <c r="Y13" i="13"/>
  <c r="X13" i="13"/>
  <c r="W13" i="13"/>
  <c r="V13" i="13"/>
  <c r="T13" i="13"/>
  <c r="S13" i="13"/>
  <c r="R13" i="13"/>
  <c r="Q13" i="13"/>
  <c r="O13" i="13"/>
  <c r="N13" i="13"/>
  <c r="M13" i="13"/>
  <c r="L13" i="13"/>
  <c r="J13" i="13"/>
  <c r="I13" i="13"/>
  <c r="H13" i="13"/>
  <c r="G13" i="13"/>
  <c r="D13" i="13"/>
  <c r="E13" i="13"/>
  <c r="C13" i="13"/>
  <c r="B13" i="13"/>
  <c r="D13" i="11"/>
  <c r="J13" i="11"/>
  <c r="I13" i="11"/>
  <c r="H13" i="11"/>
  <c r="E13" i="11"/>
  <c r="F13" i="11"/>
  <c r="C13" i="11"/>
  <c r="B13" i="11"/>
  <c r="M13" i="10"/>
  <c r="L13" i="10"/>
  <c r="K13" i="10"/>
  <c r="J13" i="10"/>
  <c r="I13" i="10"/>
  <c r="G13" i="10"/>
  <c r="F13" i="10"/>
  <c r="E13" i="10"/>
  <c r="D13" i="10"/>
  <c r="C13" i="10"/>
  <c r="AG13" i="13"/>
  <c r="AI38" i="13"/>
  <c r="AF38" i="13"/>
  <c r="AE38" i="13"/>
  <c r="AD38" i="13"/>
  <c r="AC38" i="13"/>
  <c r="AB38" i="13"/>
  <c r="AA38" i="13"/>
  <c r="Y38" i="13"/>
  <c r="X38" i="13"/>
  <c r="W38" i="13"/>
  <c r="V38" i="13"/>
  <c r="T38" i="13"/>
  <c r="S38" i="13"/>
  <c r="R38" i="13"/>
  <c r="Q38" i="13"/>
  <c r="O38" i="13"/>
  <c r="N38" i="13"/>
  <c r="M38" i="13"/>
  <c r="L38" i="13"/>
  <c r="J38" i="13"/>
  <c r="I38" i="13"/>
  <c r="H38" i="13"/>
  <c r="G38" i="13"/>
  <c r="E38" i="13"/>
  <c r="D38" i="13"/>
  <c r="C38" i="13"/>
  <c r="B38" i="13"/>
  <c r="J38" i="11"/>
  <c r="I38" i="11"/>
  <c r="H38" i="11"/>
  <c r="F38" i="11"/>
  <c r="E38" i="11"/>
  <c r="D38" i="11"/>
  <c r="C38" i="11"/>
  <c r="B38" i="11"/>
  <c r="M38" i="10"/>
  <c r="L38" i="10"/>
  <c r="K38" i="10"/>
  <c r="I38" i="10"/>
  <c r="G38" i="10"/>
  <c r="F38" i="10"/>
  <c r="D38" i="10"/>
  <c r="C38" i="10"/>
  <c r="AH38" i="13"/>
  <c r="B38" i="10"/>
  <c r="AI18" i="13"/>
  <c r="AF18" i="13"/>
  <c r="AE18" i="13"/>
  <c r="AD18" i="13"/>
  <c r="AC18" i="13"/>
  <c r="AB18" i="13"/>
  <c r="AA18" i="13"/>
  <c r="Y18" i="13"/>
  <c r="X18" i="13"/>
  <c r="W18" i="13"/>
  <c r="V18" i="13"/>
  <c r="T18" i="13"/>
  <c r="S18" i="13"/>
  <c r="R18" i="13"/>
  <c r="Q18" i="13"/>
  <c r="O18" i="13"/>
  <c r="N18" i="13"/>
  <c r="M18" i="13"/>
  <c r="L18" i="13"/>
  <c r="H18" i="13"/>
  <c r="J18" i="13"/>
  <c r="I18" i="13"/>
  <c r="G18" i="13"/>
  <c r="C18" i="13"/>
  <c r="E18" i="13"/>
  <c r="D18" i="13"/>
  <c r="J18" i="11"/>
  <c r="I18" i="11"/>
  <c r="H18" i="11"/>
  <c r="K18" i="11" s="1"/>
  <c r="F18" i="11"/>
  <c r="E18" i="11"/>
  <c r="D18" i="11"/>
  <c r="C18" i="11"/>
  <c r="B18" i="11"/>
  <c r="M18" i="10"/>
  <c r="L18" i="10"/>
  <c r="K18" i="10"/>
  <c r="I18" i="10"/>
  <c r="G18" i="10"/>
  <c r="F18" i="10"/>
  <c r="E18" i="10"/>
  <c r="D18" i="10"/>
  <c r="C18" i="10"/>
  <c r="B18" i="10"/>
  <c r="AI48" i="13"/>
  <c r="AF48" i="13"/>
  <c r="AE48" i="13"/>
  <c r="AD48" i="13"/>
  <c r="AC48" i="13"/>
  <c r="AB48" i="13"/>
  <c r="AA48" i="13"/>
  <c r="Y48" i="13"/>
  <c r="X48" i="13"/>
  <c r="W48" i="13"/>
  <c r="V48" i="13"/>
  <c r="T48" i="13"/>
  <c r="S48" i="13"/>
  <c r="R48" i="13"/>
  <c r="Q48" i="13"/>
  <c r="O48" i="13"/>
  <c r="N48" i="13"/>
  <c r="M48" i="13"/>
  <c r="L48" i="13"/>
  <c r="J48" i="13"/>
  <c r="I48" i="13"/>
  <c r="H48" i="13"/>
  <c r="G48" i="13"/>
  <c r="E48" i="13"/>
  <c r="D48" i="13"/>
  <c r="C48" i="13"/>
  <c r="B48" i="13"/>
  <c r="J48" i="11"/>
  <c r="I48" i="11"/>
  <c r="H48" i="11"/>
  <c r="F48" i="11"/>
  <c r="E48" i="11"/>
  <c r="D48" i="11"/>
  <c r="C48" i="11"/>
  <c r="B48" i="11"/>
  <c r="K48" i="10"/>
  <c r="M48" i="10"/>
  <c r="L48" i="10"/>
  <c r="I48" i="10"/>
  <c r="G48" i="10"/>
  <c r="F48" i="10"/>
  <c r="E48" i="10"/>
  <c r="D48" i="10"/>
  <c r="C48" i="10"/>
  <c r="B48" i="10"/>
  <c r="AI14" i="13"/>
  <c r="AF14" i="13"/>
  <c r="AE14" i="13"/>
  <c r="AD14" i="13"/>
  <c r="AC14" i="13"/>
  <c r="AB14" i="13"/>
  <c r="AA14" i="13"/>
  <c r="Y14" i="13"/>
  <c r="X14" i="13"/>
  <c r="W14" i="13"/>
  <c r="V14" i="13"/>
  <c r="T14" i="13"/>
  <c r="S14" i="13"/>
  <c r="R14" i="13"/>
  <c r="Q14" i="13"/>
  <c r="O14" i="13"/>
  <c r="N14" i="13"/>
  <c r="M14" i="13"/>
  <c r="L14" i="13"/>
  <c r="J14" i="13"/>
  <c r="I14" i="13"/>
  <c r="H14" i="13"/>
  <c r="G14" i="13"/>
  <c r="E14" i="13"/>
  <c r="D14" i="13"/>
  <c r="C14" i="13"/>
  <c r="F14" i="13" s="1"/>
  <c r="B14" i="13"/>
  <c r="J14" i="11"/>
  <c r="I14" i="11"/>
  <c r="H14" i="11"/>
  <c r="F14" i="11"/>
  <c r="E14" i="11"/>
  <c r="D14" i="11"/>
  <c r="C14" i="11"/>
  <c r="B14" i="11"/>
  <c r="M14" i="10"/>
  <c r="L14" i="10"/>
  <c r="K14" i="10"/>
  <c r="I14" i="10"/>
  <c r="G14" i="10"/>
  <c r="F14" i="10"/>
  <c r="E14" i="10"/>
  <c r="D14" i="10"/>
  <c r="C14" i="10"/>
  <c r="B14" i="10"/>
  <c r="AI23" i="13"/>
  <c r="I23" i="10"/>
  <c r="K23" i="10"/>
  <c r="L23" i="10"/>
  <c r="N23" i="10" s="1"/>
  <c r="M23" i="10"/>
  <c r="B23" i="10"/>
  <c r="H23" i="10" s="1"/>
  <c r="C23" i="10"/>
  <c r="AH23" i="13" s="1"/>
  <c r="D23" i="10"/>
  <c r="E23" i="10"/>
  <c r="F23" i="10"/>
  <c r="G23" i="10"/>
  <c r="AF23" i="13"/>
  <c r="AE23" i="13"/>
  <c r="AD23" i="13"/>
  <c r="AC23" i="13"/>
  <c r="AB23" i="13"/>
  <c r="AA23" i="13"/>
  <c r="Y23" i="13"/>
  <c r="X23" i="13"/>
  <c r="W23" i="13"/>
  <c r="V23" i="13"/>
  <c r="T23" i="13"/>
  <c r="S23" i="13"/>
  <c r="R23" i="13"/>
  <c r="Q23" i="13"/>
  <c r="O23" i="13"/>
  <c r="N23" i="13"/>
  <c r="M23" i="13"/>
  <c r="L23" i="13"/>
  <c r="J23" i="13"/>
  <c r="I23" i="13"/>
  <c r="H23" i="13"/>
  <c r="G23" i="13"/>
  <c r="E23" i="13"/>
  <c r="D23" i="13"/>
  <c r="C23" i="13"/>
  <c r="B23" i="13"/>
  <c r="J23" i="11"/>
  <c r="I23" i="11"/>
  <c r="H23" i="11"/>
  <c r="F23" i="11"/>
  <c r="E23" i="11"/>
  <c r="D23" i="11"/>
  <c r="C23" i="11"/>
  <c r="B23" i="11"/>
  <c r="AI45" i="13"/>
  <c r="AF45" i="13"/>
  <c r="AE45" i="13"/>
  <c r="AB45" i="13"/>
  <c r="AD45" i="13"/>
  <c r="AA45" i="13"/>
  <c r="Y45" i="13"/>
  <c r="X45" i="13"/>
  <c r="W45" i="13"/>
  <c r="V45" i="13"/>
  <c r="T45" i="13"/>
  <c r="S45" i="13"/>
  <c r="R45" i="13"/>
  <c r="Q45" i="13"/>
  <c r="O45" i="13"/>
  <c r="N45" i="13"/>
  <c r="M45" i="13"/>
  <c r="L45" i="13"/>
  <c r="J45" i="13"/>
  <c r="I45" i="13"/>
  <c r="H45" i="13"/>
  <c r="G45" i="13"/>
  <c r="E45" i="13"/>
  <c r="D45" i="13"/>
  <c r="C45" i="13"/>
  <c r="B45" i="13"/>
  <c r="J45" i="11"/>
  <c r="I45" i="11"/>
  <c r="H45" i="11"/>
  <c r="F45" i="11"/>
  <c r="E45" i="11"/>
  <c r="D45" i="11"/>
  <c r="C45" i="11"/>
  <c r="B45" i="11"/>
  <c r="M45" i="10"/>
  <c r="L45" i="10"/>
  <c r="K45" i="10"/>
  <c r="I45" i="10"/>
  <c r="G45" i="10"/>
  <c r="F45" i="10"/>
  <c r="E45" i="10"/>
  <c r="D45" i="10"/>
  <c r="C45" i="10"/>
  <c r="B45" i="10"/>
  <c r="AI21" i="13"/>
  <c r="AE21" i="13"/>
  <c r="AF21" i="13"/>
  <c r="AD21" i="13"/>
  <c r="AC21" i="13"/>
  <c r="AB21" i="13"/>
  <c r="AA21" i="13"/>
  <c r="Y21" i="13"/>
  <c r="X21" i="13"/>
  <c r="W21" i="13"/>
  <c r="V21" i="13"/>
  <c r="T21" i="13"/>
  <c r="S21" i="13"/>
  <c r="R21" i="13"/>
  <c r="Q21" i="13"/>
  <c r="O21" i="13"/>
  <c r="N21" i="13"/>
  <c r="M21" i="13"/>
  <c r="L21" i="13"/>
  <c r="J21" i="13"/>
  <c r="I21" i="13"/>
  <c r="H21" i="13"/>
  <c r="G21" i="13"/>
  <c r="E21" i="13"/>
  <c r="D21" i="13"/>
  <c r="C21" i="13"/>
  <c r="B21" i="13"/>
  <c r="J21" i="11"/>
  <c r="I21" i="11"/>
  <c r="H21" i="11"/>
  <c r="F21" i="11"/>
  <c r="E21" i="11"/>
  <c r="D21" i="11"/>
  <c r="B21" i="11"/>
  <c r="C21" i="11"/>
  <c r="M21" i="10"/>
  <c r="L21" i="10"/>
  <c r="K21" i="10"/>
  <c r="J21" i="10"/>
  <c r="I21" i="10"/>
  <c r="G21" i="10"/>
  <c r="F21" i="10"/>
  <c r="E21" i="10"/>
  <c r="D21" i="10"/>
  <c r="C21" i="10"/>
  <c r="B21" i="10"/>
  <c r="AI11" i="13"/>
  <c r="AF11" i="13"/>
  <c r="AE11" i="13"/>
  <c r="AD11" i="13"/>
  <c r="AC11" i="13"/>
  <c r="AB11" i="13"/>
  <c r="AA11" i="13"/>
  <c r="Y11" i="13"/>
  <c r="X11" i="13"/>
  <c r="W11" i="13"/>
  <c r="V11" i="13"/>
  <c r="T11" i="13"/>
  <c r="S11" i="13"/>
  <c r="R11" i="13"/>
  <c r="Q11" i="13"/>
  <c r="O11" i="13"/>
  <c r="N11" i="13"/>
  <c r="M11" i="13"/>
  <c r="L11" i="13"/>
  <c r="J11" i="13"/>
  <c r="I11" i="13"/>
  <c r="H11" i="13"/>
  <c r="G11" i="13"/>
  <c r="E11" i="13"/>
  <c r="D11" i="13"/>
  <c r="C11" i="13"/>
  <c r="B11" i="13"/>
  <c r="J11" i="11"/>
  <c r="I11" i="11"/>
  <c r="H11" i="11"/>
  <c r="F11" i="11"/>
  <c r="E11" i="11"/>
  <c r="D11" i="11"/>
  <c r="C11" i="11"/>
  <c r="B11" i="11"/>
  <c r="M11" i="10"/>
  <c r="L11" i="10"/>
  <c r="K11" i="10"/>
  <c r="J11" i="10"/>
  <c r="I11" i="10"/>
  <c r="G11" i="10"/>
  <c r="E11" i="10"/>
  <c r="F11" i="10"/>
  <c r="D11" i="10"/>
  <c r="C11" i="10"/>
  <c r="AH11" i="13" s="1"/>
  <c r="B11" i="10"/>
  <c r="AI10" i="13"/>
  <c r="AF10" i="13"/>
  <c r="AE10" i="13"/>
  <c r="AD10" i="13"/>
  <c r="AC10" i="13"/>
  <c r="AB10" i="13"/>
  <c r="AA10" i="13"/>
  <c r="Y10" i="13"/>
  <c r="X10" i="13"/>
  <c r="W10" i="13"/>
  <c r="V10" i="13"/>
  <c r="T10" i="13"/>
  <c r="S10" i="13"/>
  <c r="R10" i="13"/>
  <c r="Q10" i="13"/>
  <c r="O10" i="13"/>
  <c r="N10" i="13"/>
  <c r="M10" i="13"/>
  <c r="L10" i="13"/>
  <c r="J10" i="13"/>
  <c r="I10" i="13"/>
  <c r="H10" i="13"/>
  <c r="G10" i="13"/>
  <c r="E10" i="13"/>
  <c r="D10" i="13"/>
  <c r="C10" i="13"/>
  <c r="B10" i="13"/>
  <c r="J10" i="11"/>
  <c r="I10" i="11"/>
  <c r="H10" i="11"/>
  <c r="D10" i="11"/>
  <c r="F10" i="11"/>
  <c r="E10" i="11"/>
  <c r="C10" i="11"/>
  <c r="C37" i="9"/>
  <c r="C39" i="9" s="1"/>
  <c r="B8" i="2" s="1"/>
  <c r="B10" i="11"/>
  <c r="M10" i="10"/>
  <c r="L10" i="10"/>
  <c r="K10" i="10"/>
  <c r="I10" i="10"/>
  <c r="G10" i="10"/>
  <c r="F10" i="10"/>
  <c r="E10" i="10"/>
  <c r="D10" i="10"/>
  <c r="C10" i="10"/>
  <c r="B10" i="10"/>
  <c r="AI31" i="13"/>
  <c r="AF31" i="13"/>
  <c r="AE31" i="13"/>
  <c r="AD31" i="13"/>
  <c r="AB31" i="13"/>
  <c r="AA31" i="13"/>
  <c r="Y31" i="13"/>
  <c r="X31" i="13"/>
  <c r="W31" i="13"/>
  <c r="V31" i="13"/>
  <c r="T31" i="13"/>
  <c r="S31" i="13"/>
  <c r="R31" i="13"/>
  <c r="Q31" i="13"/>
  <c r="O31" i="13"/>
  <c r="N31" i="13"/>
  <c r="M31" i="13"/>
  <c r="L31" i="13"/>
  <c r="J31" i="13"/>
  <c r="I31" i="13"/>
  <c r="H31" i="13"/>
  <c r="G31" i="13"/>
  <c r="E31" i="13"/>
  <c r="D31" i="13"/>
  <c r="C31" i="13"/>
  <c r="B31" i="13"/>
  <c r="J31" i="11"/>
  <c r="I31" i="11"/>
  <c r="H31" i="11"/>
  <c r="F31" i="11"/>
  <c r="E31" i="11"/>
  <c r="D31" i="11"/>
  <c r="C31" i="11"/>
  <c r="B31" i="11"/>
  <c r="M31" i="10"/>
  <c r="L31" i="10"/>
  <c r="K31" i="10"/>
  <c r="J31" i="10"/>
  <c r="I31" i="10"/>
  <c r="G31" i="10"/>
  <c r="F31" i="10"/>
  <c r="E31" i="10"/>
  <c r="D31" i="10"/>
  <c r="C31" i="10"/>
  <c r="B31" i="10"/>
  <c r="AG31" i="13" s="1"/>
  <c r="AI49" i="13"/>
  <c r="AF49" i="13"/>
  <c r="AE49" i="13"/>
  <c r="AD49" i="13"/>
  <c r="AC49" i="13"/>
  <c r="AB49" i="13"/>
  <c r="AA49" i="13"/>
  <c r="Y49" i="13"/>
  <c r="X49" i="13"/>
  <c r="W49" i="13"/>
  <c r="V49" i="13"/>
  <c r="T49" i="13"/>
  <c r="S49" i="13"/>
  <c r="R49" i="13"/>
  <c r="Q49" i="13"/>
  <c r="O49" i="13"/>
  <c r="N49" i="13"/>
  <c r="M49" i="13"/>
  <c r="L49" i="13"/>
  <c r="J49" i="13"/>
  <c r="I49" i="13"/>
  <c r="H49" i="13"/>
  <c r="G49" i="13"/>
  <c r="E49" i="13"/>
  <c r="D49" i="13"/>
  <c r="C49" i="13"/>
  <c r="B49" i="13"/>
  <c r="J49" i="11"/>
  <c r="I49" i="11"/>
  <c r="H49" i="11"/>
  <c r="F49" i="11"/>
  <c r="E49" i="11"/>
  <c r="D49" i="11"/>
  <c r="C49" i="11"/>
  <c r="B49" i="11"/>
  <c r="M49" i="10"/>
  <c r="L49" i="10"/>
  <c r="K49" i="10"/>
  <c r="I49" i="10"/>
  <c r="G49" i="10"/>
  <c r="F49" i="10"/>
  <c r="E49" i="10"/>
  <c r="D49" i="10"/>
  <c r="C49" i="10"/>
  <c r="AH49" i="13" s="1"/>
  <c r="B49" i="10"/>
  <c r="AI43" i="13"/>
  <c r="AF43" i="13"/>
  <c r="AE43" i="13"/>
  <c r="AD43" i="13"/>
  <c r="AC43" i="13"/>
  <c r="AB43" i="13"/>
  <c r="AA43" i="13"/>
  <c r="Y43" i="13"/>
  <c r="X43" i="13"/>
  <c r="W43" i="13"/>
  <c r="V43" i="13"/>
  <c r="T43" i="13"/>
  <c r="S43" i="13"/>
  <c r="R43" i="13"/>
  <c r="Q43" i="13"/>
  <c r="U43" i="13" s="1"/>
  <c r="O43" i="13"/>
  <c r="N43" i="13"/>
  <c r="M43" i="13"/>
  <c r="L43" i="13"/>
  <c r="J43" i="13"/>
  <c r="I43" i="13"/>
  <c r="H43" i="13"/>
  <c r="G43" i="13"/>
  <c r="K43" i="13" s="1"/>
  <c r="E43" i="13"/>
  <c r="D43" i="13"/>
  <c r="C43" i="13"/>
  <c r="B43" i="13"/>
  <c r="F43" i="13" s="1"/>
  <c r="J20" i="12"/>
  <c r="I20" i="12"/>
  <c r="J43" i="11"/>
  <c r="I43" i="11"/>
  <c r="H43" i="11"/>
  <c r="F43" i="11"/>
  <c r="E43" i="11"/>
  <c r="D43" i="11"/>
  <c r="C43" i="11"/>
  <c r="B43" i="11"/>
  <c r="G43" i="11" s="1"/>
  <c r="M43" i="10"/>
  <c r="L43" i="10"/>
  <c r="K43" i="10"/>
  <c r="I43" i="10"/>
  <c r="G43" i="10"/>
  <c r="F43" i="10"/>
  <c r="E43" i="10"/>
  <c r="D43" i="10"/>
  <c r="C43" i="10"/>
  <c r="B43" i="10"/>
  <c r="AI28" i="13"/>
  <c r="AF28" i="13"/>
  <c r="AE28" i="13"/>
  <c r="AD28" i="13"/>
  <c r="AC28" i="13"/>
  <c r="AB28" i="13"/>
  <c r="AA28" i="13"/>
  <c r="Y28" i="13"/>
  <c r="X28" i="13"/>
  <c r="W28" i="13"/>
  <c r="V28" i="13"/>
  <c r="T28" i="13"/>
  <c r="S28" i="13"/>
  <c r="R28" i="13"/>
  <c r="U28" i="13" s="1"/>
  <c r="Q28" i="13"/>
  <c r="O28" i="13"/>
  <c r="N28" i="13"/>
  <c r="M28" i="13"/>
  <c r="P28" i="13" s="1"/>
  <c r="L28" i="13"/>
  <c r="J28" i="13"/>
  <c r="I28" i="13"/>
  <c r="H28" i="13"/>
  <c r="G28" i="13"/>
  <c r="E28" i="13"/>
  <c r="D28" i="13"/>
  <c r="C28" i="13"/>
  <c r="F28" i="13" s="1"/>
  <c r="B28" i="13"/>
  <c r="J28" i="11"/>
  <c r="I28" i="11"/>
  <c r="H28" i="11"/>
  <c r="C28" i="11"/>
  <c r="F28" i="11"/>
  <c r="E28" i="11"/>
  <c r="D28" i="11"/>
  <c r="G28" i="11" s="1"/>
  <c r="B28" i="11"/>
  <c r="M28" i="10"/>
  <c r="L28" i="10"/>
  <c r="K28" i="10"/>
  <c r="J28" i="10"/>
  <c r="I28" i="10"/>
  <c r="N28" i="10" s="1"/>
  <c r="F28" i="10"/>
  <c r="B28" i="10"/>
  <c r="G28" i="10"/>
  <c r="E28" i="10"/>
  <c r="D28" i="10"/>
  <c r="C28" i="10"/>
  <c r="AH28" i="13" s="1"/>
  <c r="AI15" i="13"/>
  <c r="AF15" i="13"/>
  <c r="AE15" i="13"/>
  <c r="AD15" i="13"/>
  <c r="AC15" i="13"/>
  <c r="AB15" i="13"/>
  <c r="AA15" i="13"/>
  <c r="Y15" i="13"/>
  <c r="X15" i="13"/>
  <c r="W15" i="13"/>
  <c r="V15" i="13"/>
  <c r="T15" i="13"/>
  <c r="S15" i="13"/>
  <c r="R15" i="13"/>
  <c r="U15" i="13" s="1"/>
  <c r="Q15" i="13"/>
  <c r="O15" i="13"/>
  <c r="N15" i="13"/>
  <c r="M15" i="13"/>
  <c r="L15" i="13"/>
  <c r="I15" i="13"/>
  <c r="J15" i="13"/>
  <c r="H15" i="13"/>
  <c r="K15" i="13" s="1"/>
  <c r="G15" i="13"/>
  <c r="E15" i="13"/>
  <c r="D15" i="13"/>
  <c r="C15" i="13"/>
  <c r="F15" i="13" s="1"/>
  <c r="B15" i="13"/>
  <c r="J15" i="11"/>
  <c r="I15" i="11"/>
  <c r="H15" i="11"/>
  <c r="K15" i="11" s="1"/>
  <c r="F15" i="11"/>
  <c r="E15" i="11"/>
  <c r="D15" i="11"/>
  <c r="C15" i="11"/>
  <c r="G15" i="11" s="1"/>
  <c r="B15" i="11"/>
  <c r="M15" i="10"/>
  <c r="L15" i="10"/>
  <c r="K15" i="10"/>
  <c r="J15" i="10"/>
  <c r="I15" i="10"/>
  <c r="N15" i="10" s="1"/>
  <c r="G15" i="10"/>
  <c r="F15" i="10"/>
  <c r="E15" i="10"/>
  <c r="D15" i="10"/>
  <c r="C15" i="10"/>
  <c r="B15" i="10"/>
  <c r="AI33" i="13"/>
  <c r="AF33" i="13"/>
  <c r="AE33" i="13"/>
  <c r="AD33" i="13"/>
  <c r="AC33" i="13"/>
  <c r="AB33" i="13"/>
  <c r="AA33" i="13"/>
  <c r="Y33" i="13"/>
  <c r="X33" i="13"/>
  <c r="W33" i="13"/>
  <c r="Z33" i="13" s="1"/>
  <c r="V33" i="13"/>
  <c r="T33" i="13"/>
  <c r="S33" i="13"/>
  <c r="R33" i="13"/>
  <c r="Q33" i="13"/>
  <c r="O33" i="13"/>
  <c r="N33" i="13"/>
  <c r="M33" i="13"/>
  <c r="P33" i="13" s="1"/>
  <c r="L33" i="13"/>
  <c r="J33" i="13"/>
  <c r="I33" i="13"/>
  <c r="H33" i="13"/>
  <c r="G33" i="13"/>
  <c r="E33" i="13"/>
  <c r="D33" i="13"/>
  <c r="C33" i="13"/>
  <c r="F33" i="13" s="1"/>
  <c r="B33" i="13"/>
  <c r="J33" i="11"/>
  <c r="I33" i="11"/>
  <c r="H33" i="11"/>
  <c r="F33" i="11"/>
  <c r="E33" i="11"/>
  <c r="D33" i="11"/>
  <c r="C33" i="11"/>
  <c r="G33" i="11" s="1"/>
  <c r="B33" i="11"/>
  <c r="L33" i="10"/>
  <c r="J33" i="10"/>
  <c r="I33" i="10"/>
  <c r="M33" i="10"/>
  <c r="K33" i="10"/>
  <c r="G33" i="10"/>
  <c r="F33" i="10"/>
  <c r="E33" i="10"/>
  <c r="D33" i="10"/>
  <c r="C33" i="10"/>
  <c r="B33" i="10"/>
  <c r="AG33" i="13" s="1"/>
  <c r="AI25" i="13"/>
  <c r="AF25" i="13"/>
  <c r="AE25" i="13"/>
  <c r="AD25" i="13"/>
  <c r="AC25" i="13"/>
  <c r="AB25" i="13"/>
  <c r="AA25" i="13"/>
  <c r="Y25" i="13"/>
  <c r="X25" i="13"/>
  <c r="W25" i="13"/>
  <c r="V25" i="13"/>
  <c r="T25" i="13"/>
  <c r="S25" i="13"/>
  <c r="R25" i="13"/>
  <c r="U25" i="13" s="1"/>
  <c r="Q25" i="13"/>
  <c r="O25" i="13"/>
  <c r="N25" i="13"/>
  <c r="M25" i="13"/>
  <c r="P25" i="13" s="1"/>
  <c r="L25" i="13"/>
  <c r="J25" i="13"/>
  <c r="I25" i="13"/>
  <c r="H25" i="13"/>
  <c r="G25" i="13"/>
  <c r="E25" i="13"/>
  <c r="D25" i="13"/>
  <c r="C25" i="13"/>
  <c r="F25" i="13" s="1"/>
  <c r="B25" i="13"/>
  <c r="J25" i="11"/>
  <c r="I25" i="11"/>
  <c r="H25" i="11"/>
  <c r="F25" i="11"/>
  <c r="E25" i="11"/>
  <c r="D25" i="11"/>
  <c r="C25" i="11"/>
  <c r="B25" i="11"/>
  <c r="M25" i="10"/>
  <c r="L25" i="10"/>
  <c r="K25" i="10"/>
  <c r="J25" i="10"/>
  <c r="I25" i="10"/>
  <c r="F25" i="10"/>
  <c r="G25" i="10"/>
  <c r="E25" i="10"/>
  <c r="D25" i="10"/>
  <c r="C25" i="10"/>
  <c r="B25" i="10"/>
  <c r="AI44" i="13"/>
  <c r="AF44" i="13"/>
  <c r="AE44" i="13"/>
  <c r="AD44" i="13"/>
  <c r="AC44" i="13"/>
  <c r="AB44" i="13"/>
  <c r="AA44" i="13"/>
  <c r="Y44" i="13"/>
  <c r="X44" i="13"/>
  <c r="W44" i="13"/>
  <c r="V44" i="13"/>
  <c r="T44" i="13"/>
  <c r="S44" i="13"/>
  <c r="R44" i="13"/>
  <c r="Q44" i="13"/>
  <c r="O44" i="13"/>
  <c r="N44" i="13"/>
  <c r="M44" i="13"/>
  <c r="L44" i="13"/>
  <c r="J44" i="13"/>
  <c r="I44" i="13"/>
  <c r="H44" i="13"/>
  <c r="G44" i="13"/>
  <c r="D44" i="13"/>
  <c r="E44" i="13"/>
  <c r="C44" i="13"/>
  <c r="B44" i="13"/>
  <c r="J44" i="11"/>
  <c r="I44" i="11"/>
  <c r="H44" i="11"/>
  <c r="F44" i="11"/>
  <c r="E44" i="11"/>
  <c r="D44" i="11"/>
  <c r="C44" i="11"/>
  <c r="B44" i="11"/>
  <c r="M44" i="10"/>
  <c r="L44" i="10"/>
  <c r="K44" i="10"/>
  <c r="I44" i="10"/>
  <c r="F44" i="10"/>
  <c r="G44" i="10"/>
  <c r="E44" i="10"/>
  <c r="D44" i="10"/>
  <c r="C44" i="10"/>
  <c r="B44" i="10"/>
  <c r="AI20" i="13"/>
  <c r="AF20" i="13"/>
  <c r="AE20" i="13"/>
  <c r="AD20" i="13"/>
  <c r="AC20" i="13"/>
  <c r="AB20" i="13"/>
  <c r="AA20" i="13"/>
  <c r="Y20" i="13"/>
  <c r="X20" i="13"/>
  <c r="W20" i="13"/>
  <c r="V20" i="13"/>
  <c r="T20" i="13"/>
  <c r="S20" i="13"/>
  <c r="R20" i="13"/>
  <c r="Q20" i="13"/>
  <c r="O20" i="13"/>
  <c r="N20" i="13"/>
  <c r="M20" i="13"/>
  <c r="L20" i="13"/>
  <c r="J20" i="13"/>
  <c r="I20" i="13"/>
  <c r="H20" i="13"/>
  <c r="G20" i="13"/>
  <c r="E20" i="13"/>
  <c r="D20" i="13"/>
  <c r="C20" i="13"/>
  <c r="B20" i="13"/>
  <c r="J20" i="11"/>
  <c r="I20" i="11"/>
  <c r="H20" i="11"/>
  <c r="E20" i="11"/>
  <c r="F20" i="11"/>
  <c r="D20" i="11"/>
  <c r="C20" i="11"/>
  <c r="B20" i="11"/>
  <c r="M20" i="10"/>
  <c r="L20" i="10"/>
  <c r="K20" i="10"/>
  <c r="I20" i="10"/>
  <c r="G20" i="10"/>
  <c r="F20" i="10"/>
  <c r="D20" i="10"/>
  <c r="C20" i="10"/>
  <c r="AH20" i="13" s="1"/>
  <c r="B20" i="10"/>
  <c r="AI6" i="13"/>
  <c r="AF6" i="13"/>
  <c r="AE6" i="13"/>
  <c r="AD6" i="13"/>
  <c r="AC6" i="13"/>
  <c r="AB6" i="13"/>
  <c r="AA6" i="13"/>
  <c r="Y6" i="13"/>
  <c r="X6" i="13"/>
  <c r="W6" i="13"/>
  <c r="V6" i="13"/>
  <c r="T6" i="13"/>
  <c r="S6" i="13"/>
  <c r="R6" i="13"/>
  <c r="Q6" i="13"/>
  <c r="O6" i="13"/>
  <c r="N6" i="13"/>
  <c r="M6" i="13"/>
  <c r="L6" i="13"/>
  <c r="J6" i="13"/>
  <c r="I6" i="13"/>
  <c r="H6" i="13"/>
  <c r="K6" i="13" s="1"/>
  <c r="G6" i="13"/>
  <c r="E6" i="13"/>
  <c r="D6" i="13"/>
  <c r="C6" i="13"/>
  <c r="B6" i="13"/>
  <c r="J6" i="11"/>
  <c r="I6" i="11"/>
  <c r="H6" i="11"/>
  <c r="K6" i="11" s="1"/>
  <c r="F6" i="11"/>
  <c r="E6" i="11"/>
  <c r="D6" i="11"/>
  <c r="C6" i="11"/>
  <c r="B6" i="11"/>
  <c r="M6" i="10"/>
  <c r="L6" i="10"/>
  <c r="K6" i="10"/>
  <c r="J6" i="10"/>
  <c r="I6" i="10"/>
  <c r="N6" i="10" s="1"/>
  <c r="F6" i="10"/>
  <c r="G6" i="10"/>
  <c r="E6" i="10"/>
  <c r="D6" i="10"/>
  <c r="C6" i="10"/>
  <c r="B6" i="10"/>
  <c r="AG6" i="13" s="1"/>
  <c r="AI22" i="13"/>
  <c r="AF22" i="13"/>
  <c r="AE22" i="13"/>
  <c r="AB22" i="13"/>
  <c r="AA22" i="13"/>
  <c r="V22" i="13"/>
  <c r="Y22" i="13"/>
  <c r="X22" i="13"/>
  <c r="W22" i="13"/>
  <c r="T22" i="13"/>
  <c r="S22" i="13"/>
  <c r="R22" i="13"/>
  <c r="Q22" i="13"/>
  <c r="O22" i="13"/>
  <c r="N22" i="13"/>
  <c r="M22" i="13"/>
  <c r="P22" i="13" s="1"/>
  <c r="L22" i="13"/>
  <c r="J22" i="13"/>
  <c r="I22" i="13"/>
  <c r="H22" i="13"/>
  <c r="G22" i="13"/>
  <c r="E22" i="13"/>
  <c r="D22" i="13"/>
  <c r="C22" i="13"/>
  <c r="F22" i="13" s="1"/>
  <c r="B22" i="13"/>
  <c r="J22" i="11"/>
  <c r="I22" i="11"/>
  <c r="H22" i="11"/>
  <c r="F22" i="11"/>
  <c r="E22" i="11"/>
  <c r="D22" i="11"/>
  <c r="C22" i="11"/>
  <c r="B22" i="11"/>
  <c r="M22" i="10"/>
  <c r="L22" i="10"/>
  <c r="K22" i="10"/>
  <c r="I22" i="10"/>
  <c r="G22" i="10"/>
  <c r="F22" i="10"/>
  <c r="E22" i="10"/>
  <c r="D22" i="10"/>
  <c r="C22" i="10"/>
  <c r="AH22" i="13" s="1"/>
  <c r="B22" i="10"/>
  <c r="AG22" i="13" s="1"/>
  <c r="AI26" i="13"/>
  <c r="AF26" i="13"/>
  <c r="AE26" i="13"/>
  <c r="AD26" i="13"/>
  <c r="AB26" i="13"/>
  <c r="AA26" i="13"/>
  <c r="Y26" i="13"/>
  <c r="X26" i="13"/>
  <c r="W26" i="13"/>
  <c r="V26" i="13"/>
  <c r="T26" i="13"/>
  <c r="S26" i="13"/>
  <c r="R26" i="13"/>
  <c r="Q26" i="13"/>
  <c r="O26" i="13"/>
  <c r="N26" i="13"/>
  <c r="M26" i="13"/>
  <c r="L26" i="13"/>
  <c r="I26" i="13"/>
  <c r="H26" i="13"/>
  <c r="J26" i="13"/>
  <c r="G26" i="13"/>
  <c r="E26" i="13"/>
  <c r="D26" i="13"/>
  <c r="C26" i="13"/>
  <c r="B26" i="13"/>
  <c r="J26" i="11"/>
  <c r="I26" i="11"/>
  <c r="H26" i="11"/>
  <c r="F26" i="11"/>
  <c r="E26" i="11"/>
  <c r="D26" i="11"/>
  <c r="C26" i="11"/>
  <c r="B26" i="11"/>
  <c r="M26" i="10"/>
  <c r="L26" i="10"/>
  <c r="K26" i="10"/>
  <c r="J26" i="10"/>
  <c r="I26" i="10"/>
  <c r="F26" i="10"/>
  <c r="G26" i="10"/>
  <c r="E26" i="10"/>
  <c r="D26" i="10"/>
  <c r="C26" i="10"/>
  <c r="AH26" i="13" s="1"/>
  <c r="B26" i="10"/>
  <c r="AI42" i="13"/>
  <c r="AF42" i="13"/>
  <c r="AE42" i="13"/>
  <c r="AD42" i="13"/>
  <c r="AC42" i="13"/>
  <c r="AB42" i="13"/>
  <c r="AA42" i="13"/>
  <c r="Y42" i="13"/>
  <c r="X42" i="13"/>
  <c r="W42" i="13"/>
  <c r="V42" i="13"/>
  <c r="Z42" i="13" s="1"/>
  <c r="T42" i="13"/>
  <c r="S42" i="13"/>
  <c r="R42" i="13"/>
  <c r="Q42" i="13"/>
  <c r="O42" i="13"/>
  <c r="N42" i="13"/>
  <c r="M42" i="13"/>
  <c r="L42" i="13"/>
  <c r="P42" i="13" s="1"/>
  <c r="J42" i="13"/>
  <c r="I42" i="13"/>
  <c r="H42" i="13"/>
  <c r="G42" i="13"/>
  <c r="E42" i="13"/>
  <c r="D42" i="13"/>
  <c r="C42" i="13"/>
  <c r="B42" i="13"/>
  <c r="F42" i="13" s="1"/>
  <c r="J42" i="11"/>
  <c r="I42" i="11"/>
  <c r="H42" i="11"/>
  <c r="F42" i="11"/>
  <c r="E42" i="11"/>
  <c r="D42" i="11"/>
  <c r="C42" i="11"/>
  <c r="B42" i="11"/>
  <c r="G42" i="11" s="1"/>
  <c r="M42" i="10"/>
  <c r="L42" i="10"/>
  <c r="K42" i="10"/>
  <c r="I42" i="10"/>
  <c r="F42" i="10"/>
  <c r="G42" i="10"/>
  <c r="D42" i="10"/>
  <c r="C42" i="10"/>
  <c r="AH42" i="13" s="1"/>
  <c r="B42" i="10"/>
  <c r="AI7" i="13"/>
  <c r="AF7" i="13"/>
  <c r="AE7" i="13"/>
  <c r="AD7" i="13"/>
  <c r="AB7" i="13"/>
  <c r="AA7" i="13"/>
  <c r="X7" i="13"/>
  <c r="W7" i="13"/>
  <c r="Z7" i="13" s="1"/>
  <c r="T7" i="13"/>
  <c r="Q7" i="13"/>
  <c r="R7" i="13"/>
  <c r="S7" i="13"/>
  <c r="V7" i="13"/>
  <c r="O7" i="13"/>
  <c r="N7" i="13"/>
  <c r="M7" i="13"/>
  <c r="P7" i="13" s="1"/>
  <c r="L7" i="13"/>
  <c r="J7" i="13"/>
  <c r="I7" i="13"/>
  <c r="H7" i="13"/>
  <c r="G7" i="13"/>
  <c r="E7" i="13"/>
  <c r="D7" i="13"/>
  <c r="C7" i="13"/>
  <c r="F7" i="13" s="1"/>
  <c r="B7" i="13"/>
  <c r="J7" i="11"/>
  <c r="I7" i="11"/>
  <c r="H7" i="11"/>
  <c r="C7" i="11"/>
  <c r="F7" i="11"/>
  <c r="E7" i="11"/>
  <c r="D7" i="11"/>
  <c r="G7" i="11" s="1"/>
  <c r="B7" i="11"/>
  <c r="M7" i="10"/>
  <c r="L7" i="10"/>
  <c r="K7" i="10"/>
  <c r="J7" i="10"/>
  <c r="I7" i="10"/>
  <c r="F7" i="10"/>
  <c r="G7" i="10"/>
  <c r="D7" i="10"/>
  <c r="C7" i="10"/>
  <c r="H7" i="10" s="1"/>
  <c r="B7" i="10"/>
  <c r="E13" i="8"/>
  <c r="F20" i="9"/>
  <c r="H20" i="9"/>
  <c r="F29" i="9"/>
  <c r="H29" i="9"/>
  <c r="F34" i="9"/>
  <c r="H34" i="9"/>
  <c r="E37" i="8"/>
  <c r="F9" i="9"/>
  <c r="H9" i="9" s="1"/>
  <c r="F13" i="9"/>
  <c r="H13" i="9" s="1"/>
  <c r="E30" i="8"/>
  <c r="F38" i="9"/>
  <c r="H38" i="9"/>
  <c r="M26" i="12"/>
  <c r="H24" i="8"/>
  <c r="J24" i="8"/>
  <c r="G7" i="8"/>
  <c r="F28" i="8"/>
  <c r="K28" i="8"/>
  <c r="L12" i="8"/>
  <c r="F12" i="8"/>
  <c r="M27" i="12"/>
  <c r="N27" i="12"/>
  <c r="L37" i="8"/>
  <c r="N37" i="7"/>
  <c r="M37" i="8"/>
  <c r="B38" i="9"/>
  <c r="E38" i="9" s="1"/>
  <c r="H37" i="8"/>
  <c r="G37" i="8"/>
  <c r="J37" i="8"/>
  <c r="F23" i="8"/>
  <c r="L35" i="8"/>
  <c r="K35" i="8"/>
  <c r="K6" i="8"/>
  <c r="L5" i="8"/>
  <c r="H5" i="8"/>
  <c r="F21" i="8"/>
  <c r="M33" i="8"/>
  <c r="B34" i="9" s="1"/>
  <c r="K33" i="8"/>
  <c r="J33" i="8"/>
  <c r="M26" i="8"/>
  <c r="B27" i="9" s="1"/>
  <c r="I26" i="8"/>
  <c r="M32" i="8"/>
  <c r="B33" i="9"/>
  <c r="E33" i="9" s="1"/>
  <c r="F30" i="8"/>
  <c r="M30" i="8"/>
  <c r="B31" i="9"/>
  <c r="D31" i="9" s="1"/>
  <c r="I30" i="8"/>
  <c r="K8" i="8"/>
  <c r="N13" i="7"/>
  <c r="F13" i="8"/>
  <c r="M13" i="8"/>
  <c r="B14" i="9" s="1"/>
  <c r="E14" i="9" s="1"/>
  <c r="F13" i="7"/>
  <c r="J13" i="7"/>
  <c r="J13" i="8"/>
  <c r="L11" i="8"/>
  <c r="H28" i="10"/>
  <c r="AJ28" i="13" s="1"/>
  <c r="AH39" i="13"/>
  <c r="AG41" i="13"/>
  <c r="F49" i="13"/>
  <c r="AG49" i="13"/>
  <c r="Z5" i="13"/>
  <c r="P5" i="13"/>
  <c r="K5" i="13"/>
  <c r="F5" i="13"/>
  <c r="AH5" i="13"/>
  <c r="Z35" i="13"/>
  <c r="U35" i="13"/>
  <c r="P35" i="13"/>
  <c r="F35" i="13"/>
  <c r="AG42" i="13"/>
  <c r="AH6" i="13"/>
  <c r="AH50" i="13" s="1"/>
  <c r="AH52" i="13" s="1"/>
  <c r="AH46" i="13"/>
  <c r="AG26" i="13"/>
  <c r="U33" i="13"/>
  <c r="K33" i="13"/>
  <c r="AH33" i="13"/>
  <c r="AH13" i="13"/>
  <c r="Z25" i="13"/>
  <c r="K25" i="13"/>
  <c r="AH25" i="13"/>
  <c r="Z43" i="13"/>
  <c r="P43" i="13"/>
  <c r="M14" i="8"/>
  <c r="B15" i="9" s="1"/>
  <c r="E15" i="9" s="1"/>
  <c r="H14" i="8"/>
  <c r="I37" i="8"/>
  <c r="I32" i="8"/>
  <c r="I33" i="8"/>
  <c r="I34" i="8"/>
  <c r="I35" i="8"/>
  <c r="I21" i="8"/>
  <c r="I22" i="8"/>
  <c r="I23" i="8"/>
  <c r="I11" i="8"/>
  <c r="I13" i="8"/>
  <c r="I14" i="8"/>
  <c r="I15" i="8"/>
  <c r="I16" i="8"/>
  <c r="I17" i="8"/>
  <c r="I19" i="8"/>
  <c r="I6" i="8"/>
  <c r="I7" i="8"/>
  <c r="I8" i="8"/>
  <c r="I9" i="8"/>
  <c r="I5" i="8"/>
  <c r="H30" i="8"/>
  <c r="H31" i="8"/>
  <c r="H32" i="8"/>
  <c r="H34" i="8"/>
  <c r="H35" i="8"/>
  <c r="H21" i="8"/>
  <c r="H22" i="8"/>
  <c r="H26" i="8"/>
  <c r="H11" i="8"/>
  <c r="H13" i="8"/>
  <c r="H15" i="8"/>
  <c r="H16" i="8"/>
  <c r="H17" i="8"/>
  <c r="H19" i="8"/>
  <c r="H6" i="8"/>
  <c r="H7" i="8"/>
  <c r="H8" i="8"/>
  <c r="H9" i="8"/>
  <c r="K18" i="8"/>
  <c r="M31" i="8"/>
  <c r="B32" i="9"/>
  <c r="L17" i="8"/>
  <c r="L13" i="8"/>
  <c r="F20" i="8"/>
  <c r="I20" i="8"/>
  <c r="K20" i="8"/>
  <c r="Z28" i="13"/>
  <c r="K28" i="13"/>
  <c r="AH44" i="13"/>
  <c r="Z34" i="13"/>
  <c r="Z27" i="13"/>
  <c r="AG16" i="13"/>
  <c r="Z15" i="13"/>
  <c r="P15" i="13"/>
  <c r="AH7" i="13"/>
  <c r="AH15" i="13"/>
  <c r="AH21" i="13"/>
  <c r="AH31" i="13"/>
  <c r="AH35" i="13"/>
  <c r="AH36" i="13"/>
  <c r="AH37" i="13"/>
  <c r="AH43" i="13"/>
  <c r="AH45" i="13"/>
  <c r="AH48" i="13"/>
  <c r="AG7" i="13"/>
  <c r="AG10" i="13"/>
  <c r="AG15" i="13"/>
  <c r="AG18" i="13"/>
  <c r="AG21" i="13"/>
  <c r="AG28" i="13"/>
  <c r="AG32" i="13"/>
  <c r="AG34" i="13"/>
  <c r="AG35" i="13"/>
  <c r="AG36" i="13"/>
  <c r="AG38" i="13"/>
  <c r="AG39" i="13"/>
  <c r="AG40" i="13"/>
  <c r="AG43" i="13"/>
  <c r="AG45" i="13"/>
  <c r="AG47" i="13"/>
  <c r="AG48" i="13"/>
  <c r="G32" i="8"/>
  <c r="G33" i="8"/>
  <c r="G21" i="8"/>
  <c r="G6" i="8"/>
  <c r="G13" i="8"/>
  <c r="F10" i="8"/>
  <c r="G10" i="8"/>
  <c r="C20" i="12"/>
  <c r="D20" i="12"/>
  <c r="F20" i="12"/>
  <c r="G20" i="12"/>
  <c r="H20" i="12"/>
  <c r="K20" i="12"/>
  <c r="B20" i="12"/>
  <c r="L22" i="8"/>
  <c r="C14" i="2"/>
  <c r="C18" i="2"/>
  <c r="C22" i="2" s="1"/>
  <c r="M6" i="8"/>
  <c r="B7" i="9" s="1"/>
  <c r="F35" i="8"/>
  <c r="F24" i="8"/>
  <c r="F33" i="8"/>
  <c r="F19" i="8"/>
  <c r="F9" i="8"/>
  <c r="J34" i="8"/>
  <c r="F31" i="9"/>
  <c r="F33" i="9"/>
  <c r="H33" i="9" s="1"/>
  <c r="F27" i="9"/>
  <c r="F12" i="9"/>
  <c r="H12" i="9"/>
  <c r="F16" i="9"/>
  <c r="H16" i="9"/>
  <c r="F17" i="9"/>
  <c r="H17" i="9"/>
  <c r="K37" i="8"/>
  <c r="K27" i="8"/>
  <c r="K7" i="8"/>
  <c r="K13" i="8"/>
  <c r="K15" i="8"/>
  <c r="K17" i="8"/>
  <c r="K5" i="8"/>
  <c r="J17" i="8"/>
  <c r="J21" i="8"/>
  <c r="J26" i="8"/>
  <c r="J27" i="8"/>
  <c r="J28" i="8"/>
  <c r="J30" i="8"/>
  <c r="J31" i="8"/>
  <c r="J32" i="8"/>
  <c r="J35" i="8"/>
  <c r="J6" i="8"/>
  <c r="J8" i="8"/>
  <c r="J12" i="8"/>
  <c r="M15" i="8"/>
  <c r="B16" i="9" s="1"/>
  <c r="D16" i="9" s="1"/>
  <c r="K28" i="12"/>
  <c r="J28" i="12"/>
  <c r="I28" i="12"/>
  <c r="H28" i="12"/>
  <c r="G28" i="12"/>
  <c r="F28" i="12"/>
  <c r="E28" i="12"/>
  <c r="D28" i="12"/>
  <c r="C28" i="12"/>
  <c r="K25" i="11"/>
  <c r="G25" i="11"/>
  <c r="E41" i="5"/>
  <c r="E34" i="5"/>
  <c r="D22" i="5"/>
  <c r="D13" i="5"/>
  <c r="C28" i="2"/>
  <c r="D40" i="3"/>
  <c r="D31" i="3"/>
  <c r="F35" i="9"/>
  <c r="H35" i="9"/>
  <c r="AG29" i="13"/>
  <c r="AH34" i="13"/>
  <c r="AH27" i="13"/>
  <c r="AG44" i="13"/>
  <c r="K28" i="11"/>
  <c r="L19" i="8"/>
  <c r="J18" i="8"/>
  <c r="F28" i="9"/>
  <c r="H28" i="9" s="1"/>
  <c r="N25" i="10"/>
  <c r="K43" i="11"/>
  <c r="N43" i="10"/>
  <c r="H33" i="10"/>
  <c r="AJ33" i="13" s="1"/>
  <c r="AG12" i="13"/>
  <c r="AH14" i="13"/>
  <c r="K33" i="11"/>
  <c r="AG5" i="13"/>
  <c r="AG17" i="13"/>
  <c r="AG46" i="13"/>
  <c r="K49" i="11"/>
  <c r="G49" i="11"/>
  <c r="N49" i="10"/>
  <c r="H49" i="10"/>
  <c r="U5" i="13"/>
  <c r="K5" i="11"/>
  <c r="G5" i="11"/>
  <c r="N5" i="10"/>
  <c r="H5" i="10"/>
  <c r="K35" i="13"/>
  <c r="K35" i="11"/>
  <c r="G35" i="11"/>
  <c r="N35" i="10"/>
  <c r="H35" i="10"/>
  <c r="AG11" i="13"/>
  <c r="M13" i="6"/>
  <c r="G17" i="8"/>
  <c r="H10" i="8"/>
  <c r="G34" i="8"/>
  <c r="F14" i="8"/>
  <c r="H15" i="10"/>
  <c r="H43" i="10"/>
  <c r="AJ43" i="13"/>
  <c r="F37" i="8"/>
  <c r="M37" i="6"/>
  <c r="J16" i="8"/>
  <c r="M29" i="12"/>
  <c r="N29" i="12" s="1"/>
  <c r="G18" i="8"/>
  <c r="H20" i="8"/>
  <c r="L27" i="8"/>
  <c r="L32" i="8"/>
  <c r="H13" i="6"/>
  <c r="N13" i="8" s="1"/>
  <c r="J29" i="8"/>
  <c r="L24" i="8"/>
  <c r="G24" i="8"/>
  <c r="H27" i="9"/>
  <c r="H31" i="9"/>
  <c r="M25" i="12"/>
  <c r="N25" i="12" s="1"/>
  <c r="F14" i="9"/>
  <c r="H14" i="9" s="1"/>
  <c r="F25" i="9"/>
  <c r="H25" i="9" s="1"/>
  <c r="C29" i="2"/>
  <c r="U7" i="13"/>
  <c r="K7" i="13"/>
  <c r="K7" i="11"/>
  <c r="N7" i="10"/>
  <c r="AJ7" i="13"/>
  <c r="U42" i="13"/>
  <c r="K42" i="13"/>
  <c r="K42" i="11"/>
  <c r="N42" i="10"/>
  <c r="F6" i="13"/>
  <c r="G6" i="11"/>
  <c r="H6" i="10"/>
  <c r="AJ6" i="13" s="1"/>
  <c r="U22" i="13"/>
  <c r="K22" i="13"/>
  <c r="K22" i="11"/>
  <c r="G22" i="11"/>
  <c r="N22" i="10"/>
  <c r="H22" i="10"/>
  <c r="Z26" i="13"/>
  <c r="U26" i="13"/>
  <c r="P26" i="13"/>
  <c r="K26" i="13"/>
  <c r="F26" i="13"/>
  <c r="K26" i="11"/>
  <c r="G26" i="11"/>
  <c r="N26" i="10"/>
  <c r="AJ22" i="13"/>
  <c r="Z20" i="13"/>
  <c r="U20" i="13"/>
  <c r="P20" i="13"/>
  <c r="K20" i="13"/>
  <c r="F20" i="13"/>
  <c r="K20" i="11"/>
  <c r="G20" i="11"/>
  <c r="N20" i="10"/>
  <c r="H20" i="10"/>
  <c r="AG20" i="13"/>
  <c r="Z6" i="13"/>
  <c r="U6" i="13"/>
  <c r="P6" i="13"/>
  <c r="AJ20" i="13"/>
  <c r="AJ49" i="13"/>
  <c r="AJ15" i="13"/>
  <c r="Z44" i="13"/>
  <c r="U44" i="13"/>
  <c r="P44" i="13"/>
  <c r="K44" i="13"/>
  <c r="F44" i="13"/>
  <c r="K44" i="11"/>
  <c r="G44" i="11"/>
  <c r="N44" i="10"/>
  <c r="H44" i="10"/>
  <c r="AJ44" i="13"/>
  <c r="Z49" i="13"/>
  <c r="U49" i="13"/>
  <c r="P49" i="13"/>
  <c r="K49" i="13"/>
  <c r="Z11" i="13"/>
  <c r="U11" i="13"/>
  <c r="P11" i="13"/>
  <c r="K11" i="13"/>
  <c r="F11" i="13"/>
  <c r="K11" i="11"/>
  <c r="G11" i="11"/>
  <c r="N11" i="10"/>
  <c r="H11" i="10"/>
  <c r="Z10" i="13"/>
  <c r="U10" i="13"/>
  <c r="P10" i="13"/>
  <c r="K10" i="13"/>
  <c r="F10" i="13"/>
  <c r="K10" i="11"/>
  <c r="G10" i="11"/>
  <c r="N10" i="10"/>
  <c r="H10" i="10"/>
  <c r="AJ10" i="13" s="1"/>
  <c r="AH10" i="13"/>
  <c r="Z31" i="13"/>
  <c r="U31" i="13"/>
  <c r="P31" i="13"/>
  <c r="K31" i="13"/>
  <c r="F31" i="13"/>
  <c r="K31" i="11"/>
  <c r="G31" i="11"/>
  <c r="N31" i="10"/>
  <c r="H31" i="10"/>
  <c r="AJ31" i="13" s="1"/>
  <c r="AJ11" i="13"/>
  <c r="Z21" i="13"/>
  <c r="U21" i="13"/>
  <c r="P21" i="13"/>
  <c r="K21" i="13"/>
  <c r="F21" i="13"/>
  <c r="K21" i="11"/>
  <c r="G21" i="11"/>
  <c r="N21" i="10"/>
  <c r="H21" i="10"/>
  <c r="AJ21" i="13" s="1"/>
  <c r="AJ23" i="13"/>
  <c r="AG23" i="13"/>
  <c r="Z23" i="13"/>
  <c r="U23" i="13"/>
  <c r="P23" i="13"/>
  <c r="K23" i="13"/>
  <c r="F23" i="13"/>
  <c r="K23" i="11"/>
  <c r="G23" i="11"/>
  <c r="Z45" i="13"/>
  <c r="U45" i="13"/>
  <c r="P45" i="13"/>
  <c r="K45" i="13"/>
  <c r="F45" i="13"/>
  <c r="K45" i="11"/>
  <c r="G45" i="11"/>
  <c r="N45" i="10"/>
  <c r="H45" i="10"/>
  <c r="AJ45" i="13"/>
  <c r="Z14" i="13"/>
  <c r="U14" i="13"/>
  <c r="P14" i="13"/>
  <c r="K14" i="13"/>
  <c r="K14" i="11"/>
  <c r="G14" i="11"/>
  <c r="N14" i="10"/>
  <c r="H14" i="10"/>
  <c r="AG14" i="13"/>
  <c r="AJ14" i="13"/>
  <c r="Z38" i="13"/>
  <c r="U38" i="13"/>
  <c r="P38" i="13"/>
  <c r="K38" i="13"/>
  <c r="F38" i="13"/>
  <c r="K38" i="11"/>
  <c r="G38" i="11"/>
  <c r="N38" i="10"/>
  <c r="H38" i="10"/>
  <c r="Z18" i="13"/>
  <c r="U18" i="13"/>
  <c r="P18" i="13"/>
  <c r="K18" i="13"/>
  <c r="G18" i="11"/>
  <c r="N18" i="10"/>
  <c r="AH18" i="13"/>
  <c r="H18" i="10"/>
  <c r="Z48" i="13"/>
  <c r="U48" i="13"/>
  <c r="P48" i="13"/>
  <c r="K48" i="13"/>
  <c r="F48" i="13"/>
  <c r="K48" i="11"/>
  <c r="G48" i="11"/>
  <c r="N48" i="10"/>
  <c r="H48" i="10"/>
  <c r="AJ48" i="13" s="1"/>
  <c r="AJ38" i="13"/>
  <c r="AJ18" i="13"/>
  <c r="Z40" i="13"/>
  <c r="U40" i="13"/>
  <c r="P40" i="13"/>
  <c r="K40" i="13"/>
  <c r="F40" i="13"/>
  <c r="G40" i="11"/>
  <c r="N40" i="10"/>
  <c r="H40" i="10"/>
  <c r="Z13" i="13"/>
  <c r="U13" i="13"/>
  <c r="P13" i="13"/>
  <c r="K13" i="13"/>
  <c r="F13" i="13"/>
  <c r="K13" i="11"/>
  <c r="G13" i="11"/>
  <c r="N13" i="10"/>
  <c r="H13" i="10"/>
  <c r="AJ40" i="13"/>
  <c r="AJ13" i="13"/>
  <c r="N39" i="10"/>
  <c r="H39" i="10"/>
  <c r="AJ39" i="13" s="1"/>
  <c r="Z39" i="13"/>
  <c r="U39" i="13"/>
  <c r="P39" i="13"/>
  <c r="K39" i="13"/>
  <c r="F39" i="13"/>
  <c r="K39" i="11"/>
  <c r="G39" i="11"/>
  <c r="Z37" i="13"/>
  <c r="U37" i="13"/>
  <c r="P37" i="13"/>
  <c r="K37" i="13"/>
  <c r="F37" i="13"/>
  <c r="K37" i="11"/>
  <c r="G37" i="11"/>
  <c r="N37" i="10"/>
  <c r="H37" i="10"/>
  <c r="Z46" i="13"/>
  <c r="U46" i="13"/>
  <c r="P46" i="13"/>
  <c r="K46" i="13"/>
  <c r="F46" i="13"/>
  <c r="K46" i="11"/>
  <c r="G46" i="11"/>
  <c r="N46" i="10"/>
  <c r="H46" i="10"/>
  <c r="AJ46" i="13" s="1"/>
  <c r="Z8" i="13"/>
  <c r="U8" i="13"/>
  <c r="P8" i="13"/>
  <c r="K8" i="13"/>
  <c r="F8" i="13"/>
  <c r="G8" i="11"/>
  <c r="N8" i="10"/>
  <c r="H8" i="10"/>
  <c r="AJ8" i="13"/>
  <c r="Z12" i="13"/>
  <c r="U12" i="13"/>
  <c r="P12" i="13"/>
  <c r="K12" i="13"/>
  <c r="F12" i="13"/>
  <c r="K12" i="11"/>
  <c r="G12" i="11"/>
  <c r="N12" i="10"/>
  <c r="H12" i="10"/>
  <c r="AH12" i="13"/>
  <c r="AJ37" i="13"/>
  <c r="AJ12" i="13"/>
  <c r="Z36" i="13"/>
  <c r="U36" i="13"/>
  <c r="P36" i="13"/>
  <c r="K36" i="13"/>
  <c r="F36" i="13"/>
  <c r="K36" i="11"/>
  <c r="G36" i="11"/>
  <c r="N36" i="10"/>
  <c r="H36" i="10"/>
  <c r="AJ36" i="13"/>
  <c r="Z41" i="13"/>
  <c r="U41" i="13"/>
  <c r="P41" i="13"/>
  <c r="K41" i="13"/>
  <c r="F41" i="13"/>
  <c r="K41" i="11"/>
  <c r="N41" i="10"/>
  <c r="H41" i="10"/>
  <c r="Z30" i="13"/>
  <c r="U30" i="13"/>
  <c r="P30" i="13"/>
  <c r="K30" i="13"/>
  <c r="F30" i="13"/>
  <c r="K30" i="11"/>
  <c r="G30" i="11"/>
  <c r="N30" i="10"/>
  <c r="H30" i="10"/>
  <c r="AJ41" i="13"/>
  <c r="AJ30" i="13"/>
  <c r="Z32" i="13"/>
  <c r="U32" i="13"/>
  <c r="P32" i="13"/>
  <c r="K32" i="13"/>
  <c r="F32" i="13"/>
  <c r="N32" i="10"/>
  <c r="H32" i="10"/>
  <c r="AJ32" i="13" s="1"/>
  <c r="AH32" i="13"/>
  <c r="U34" i="13"/>
  <c r="P34" i="13"/>
  <c r="K34" i="13"/>
  <c r="F34" i="13"/>
  <c r="K34" i="11"/>
  <c r="G34" i="11"/>
  <c r="N34" i="10"/>
  <c r="H34" i="10"/>
  <c r="Z29" i="13"/>
  <c r="U29" i="13"/>
  <c r="P29" i="13"/>
  <c r="K29" i="13"/>
  <c r="F29" i="13"/>
  <c r="K29" i="11"/>
  <c r="G29" i="11"/>
  <c r="N29" i="10"/>
  <c r="H29" i="10"/>
  <c r="AJ34" i="13"/>
  <c r="AJ29" i="13"/>
  <c r="AJ5" i="13"/>
  <c r="AJ35" i="13"/>
  <c r="K27" i="11"/>
  <c r="G27" i="11"/>
  <c r="N27" i="10"/>
  <c r="AG27" i="13"/>
  <c r="H27" i="10"/>
  <c r="AJ27" i="13" s="1"/>
  <c r="Z17" i="13"/>
  <c r="U17" i="13"/>
  <c r="P17" i="13"/>
  <c r="K17" i="13"/>
  <c r="F17" i="13"/>
  <c r="K17" i="11"/>
  <c r="G17" i="11"/>
  <c r="N17" i="10"/>
  <c r="J50" i="10"/>
  <c r="J52" i="10" s="1"/>
  <c r="C9" i="5" s="1"/>
  <c r="H17" i="10"/>
  <c r="AJ17" i="13" s="1"/>
  <c r="X50" i="13"/>
  <c r="X52" i="13" s="1"/>
  <c r="Z47" i="13"/>
  <c r="U47" i="13"/>
  <c r="R50" i="13"/>
  <c r="R52" i="13" s="1"/>
  <c r="P47" i="13"/>
  <c r="K47" i="13"/>
  <c r="I50" i="13"/>
  <c r="I52" i="13" s="1"/>
  <c r="F47" i="13"/>
  <c r="K47" i="11"/>
  <c r="G47" i="11"/>
  <c r="G32" i="11"/>
  <c r="N47" i="10"/>
  <c r="H47" i="10"/>
  <c r="AJ47" i="13"/>
  <c r="Z24" i="13"/>
  <c r="U24" i="13"/>
  <c r="P24" i="13"/>
  <c r="K24" i="13"/>
  <c r="F24" i="13"/>
  <c r="U27" i="13"/>
  <c r="P27" i="13"/>
  <c r="K27" i="13"/>
  <c r="F27" i="13"/>
  <c r="K24" i="11"/>
  <c r="G24" i="11"/>
  <c r="N24" i="10"/>
  <c r="H24" i="10"/>
  <c r="AG24" i="13"/>
  <c r="AJ24" i="13"/>
  <c r="N33" i="7"/>
  <c r="F33" i="7"/>
  <c r="J33" i="7"/>
  <c r="M33" i="6"/>
  <c r="H33" i="6"/>
  <c r="N33" i="8" s="1"/>
  <c r="E35" i="8"/>
  <c r="F36" i="9"/>
  <c r="H36" i="9"/>
  <c r="N35" i="7"/>
  <c r="F35" i="7"/>
  <c r="J35" i="7" s="1"/>
  <c r="G35" i="8"/>
  <c r="M35" i="6"/>
  <c r="H35" i="6"/>
  <c r="N35" i="8" s="1"/>
  <c r="E27" i="8"/>
  <c r="N27" i="7"/>
  <c r="F27" i="7"/>
  <c r="J27" i="7"/>
  <c r="H27" i="6"/>
  <c r="N27" i="8"/>
  <c r="N24" i="7"/>
  <c r="F24" i="7"/>
  <c r="J24" i="7" s="1"/>
  <c r="M24" i="6"/>
  <c r="H24" i="6"/>
  <c r="E5" i="8"/>
  <c r="N5" i="7"/>
  <c r="G5" i="8"/>
  <c r="M5" i="6"/>
  <c r="H5" i="6"/>
  <c r="N5" i="8" s="1"/>
  <c r="E12" i="8"/>
  <c r="N12" i="7"/>
  <c r="F12" i="7"/>
  <c r="J12" i="7"/>
  <c r="H12" i="6"/>
  <c r="K12" i="8"/>
  <c r="F11" i="9"/>
  <c r="N10" i="7"/>
  <c r="B11" i="9"/>
  <c r="E11" i="9"/>
  <c r="F10" i="7"/>
  <c r="M10" i="6"/>
  <c r="N24" i="8"/>
  <c r="N12" i="8"/>
  <c r="H11" i="9"/>
  <c r="J10" i="7"/>
  <c r="E29" i="8"/>
  <c r="F30" i="9"/>
  <c r="H30" i="9" s="1"/>
  <c r="N29" i="7"/>
  <c r="I29" i="8"/>
  <c r="F29" i="7"/>
  <c r="J29" i="7" s="1"/>
  <c r="M29" i="6"/>
  <c r="H29" i="6"/>
  <c r="N26" i="7"/>
  <c r="F26" i="8"/>
  <c r="J26" i="7"/>
  <c r="F26" i="7"/>
  <c r="G26" i="8"/>
  <c r="M26" i="6"/>
  <c r="H26" i="6"/>
  <c r="E9" i="8"/>
  <c r="N9" i="7"/>
  <c r="M9" i="8"/>
  <c r="F9" i="7"/>
  <c r="J9" i="7" s="1"/>
  <c r="G9" i="8"/>
  <c r="M9" i="6"/>
  <c r="E33" i="8"/>
  <c r="N29" i="8"/>
  <c r="N26" i="8"/>
  <c r="B10" i="9"/>
  <c r="N9" i="8"/>
  <c r="D10" i="9"/>
  <c r="E10" i="9"/>
  <c r="E25" i="8"/>
  <c r="F25" i="8"/>
  <c r="N25" i="7"/>
  <c r="H25" i="8"/>
  <c r="I25" i="8"/>
  <c r="F25" i="7"/>
  <c r="J25" i="7" s="1"/>
  <c r="G25" i="8"/>
  <c r="M25" i="6"/>
  <c r="H25" i="6"/>
  <c r="N25" i="8" s="1"/>
  <c r="E22" i="8"/>
  <c r="F23" i="9"/>
  <c r="H23" i="9" s="1"/>
  <c r="N22" i="7"/>
  <c r="B23" i="9"/>
  <c r="E23" i="9"/>
  <c r="F22" i="7"/>
  <c r="J22" i="7"/>
  <c r="M22" i="6"/>
  <c r="N22" i="8"/>
  <c r="D23" i="9"/>
  <c r="E32" i="8"/>
  <c r="F32" i="8"/>
  <c r="N32" i="7"/>
  <c r="F32" i="7"/>
  <c r="J32" i="7" s="1"/>
  <c r="M32" i="6"/>
  <c r="H32" i="6"/>
  <c r="N32" i="8"/>
  <c r="AD50" i="13"/>
  <c r="AD52" i="13"/>
  <c r="AB50" i="13"/>
  <c r="AB52" i="13" s="1"/>
  <c r="Z19" i="13"/>
  <c r="U19" i="13"/>
  <c r="N50" i="13"/>
  <c r="N52" i="13" s="1"/>
  <c r="P19" i="13"/>
  <c r="J50" i="13"/>
  <c r="J52" i="13" s="1"/>
  <c r="K19" i="13"/>
  <c r="E50" i="13"/>
  <c r="E52" i="13" s="1"/>
  <c r="F19" i="13"/>
  <c r="K19" i="11"/>
  <c r="J50" i="11"/>
  <c r="J52" i="11" s="1"/>
  <c r="D33" i="5" s="1"/>
  <c r="H50" i="11"/>
  <c r="H52" i="11"/>
  <c r="D31" i="5" s="1"/>
  <c r="E50" i="11"/>
  <c r="E52" i="11" s="1"/>
  <c r="D39" i="5" s="1"/>
  <c r="G19" i="11"/>
  <c r="M50" i="10"/>
  <c r="M52" i="10" s="1"/>
  <c r="N19" i="10"/>
  <c r="I50" i="10"/>
  <c r="I52" i="10" s="1"/>
  <c r="E50" i="10"/>
  <c r="E52" i="10" s="1"/>
  <c r="H19" i="10"/>
  <c r="B50" i="10"/>
  <c r="Y50" i="13"/>
  <c r="Y52" i="13" s="1"/>
  <c r="Z16" i="13"/>
  <c r="V50" i="13"/>
  <c r="V52" i="13" s="1"/>
  <c r="T50" i="13"/>
  <c r="T52" i="13" s="1"/>
  <c r="S50" i="13"/>
  <c r="S52" i="13"/>
  <c r="U16" i="13"/>
  <c r="Q50" i="13"/>
  <c r="Q52" i="13" s="1"/>
  <c r="O50" i="13"/>
  <c r="O52" i="13"/>
  <c r="P16" i="13"/>
  <c r="M50" i="13"/>
  <c r="M52" i="13" s="1"/>
  <c r="L50" i="13"/>
  <c r="K16" i="13"/>
  <c r="H50" i="13"/>
  <c r="G50" i="13"/>
  <c r="G52" i="13" s="1"/>
  <c r="F16" i="13"/>
  <c r="D50" i="13"/>
  <c r="D52" i="13" s="1"/>
  <c r="C50" i="13"/>
  <c r="C52" i="13" s="1"/>
  <c r="K16" i="11"/>
  <c r="I50" i="11"/>
  <c r="I52" i="11" s="1"/>
  <c r="D32" i="5" s="1"/>
  <c r="F50" i="11"/>
  <c r="F52" i="11"/>
  <c r="D40" i="5" s="1"/>
  <c r="D50" i="11"/>
  <c r="D52" i="11" s="1"/>
  <c r="D38" i="5" s="1"/>
  <c r="G16" i="11"/>
  <c r="C50" i="11"/>
  <c r="C52" i="11" s="1"/>
  <c r="D37" i="5" s="1"/>
  <c r="B50" i="11"/>
  <c r="B52" i="11" s="1"/>
  <c r="D36" i="5" s="1"/>
  <c r="L50" i="10"/>
  <c r="L52" i="10" s="1"/>
  <c r="N16" i="10"/>
  <c r="G50" i="10"/>
  <c r="G52" i="10" s="1"/>
  <c r="H16" i="10"/>
  <c r="AH16" i="13"/>
  <c r="AJ16" i="13"/>
  <c r="Z9" i="13"/>
  <c r="W50" i="13"/>
  <c r="W52" i="13" s="1"/>
  <c r="U9" i="13"/>
  <c r="P9" i="13"/>
  <c r="K9" i="13"/>
  <c r="F9" i="13"/>
  <c r="B50" i="13"/>
  <c r="B52" i="13"/>
  <c r="K9" i="11"/>
  <c r="G9" i="11"/>
  <c r="G50" i="11" s="1"/>
  <c r="G52" i="11" s="1"/>
  <c r="N9" i="10"/>
  <c r="K50" i="10"/>
  <c r="K52" i="10" s="1"/>
  <c r="H9" i="10"/>
  <c r="C50" i="10"/>
  <c r="C52" i="10" s="1"/>
  <c r="AH9" i="13"/>
  <c r="AG9" i="13"/>
  <c r="U50" i="13"/>
  <c r="M8" i="12"/>
  <c r="N8" i="12" s="1"/>
  <c r="AJ19" i="13"/>
  <c r="P50" i="13"/>
  <c r="K50" i="13"/>
  <c r="M6" i="12"/>
  <c r="N6" i="12" s="1"/>
  <c r="F50" i="13"/>
  <c r="M5" i="12" s="1"/>
  <c r="N5" i="12" s="1"/>
  <c r="K50" i="11"/>
  <c r="AJ9" i="13"/>
  <c r="M10" i="12"/>
  <c r="N10" i="12" s="1"/>
  <c r="M7" i="12"/>
  <c r="N7" i="12" s="1"/>
  <c r="E31" i="8"/>
  <c r="N31" i="7"/>
  <c r="F31" i="7"/>
  <c r="J31" i="7" s="1"/>
  <c r="M31" i="6"/>
  <c r="H31" i="6"/>
  <c r="N31" i="8"/>
  <c r="F21" i="9"/>
  <c r="H21" i="9"/>
  <c r="E20" i="8"/>
  <c r="N20" i="7"/>
  <c r="F20" i="7"/>
  <c r="J20" i="7"/>
  <c r="H20" i="6"/>
  <c r="E21" i="8"/>
  <c r="F22" i="9"/>
  <c r="H22" i="9"/>
  <c r="L21" i="8"/>
  <c r="N21" i="7"/>
  <c r="B22" i="9"/>
  <c r="E22" i="9"/>
  <c r="J21" i="7"/>
  <c r="M21" i="6"/>
  <c r="H21" i="6"/>
  <c r="N20" i="8"/>
  <c r="N21" i="8"/>
  <c r="E16" i="8"/>
  <c r="N16" i="7"/>
  <c r="F16" i="7"/>
  <c r="J16" i="7" s="1"/>
  <c r="M16" i="6"/>
  <c r="H16" i="6"/>
  <c r="E8" i="8"/>
  <c r="N8" i="7"/>
  <c r="F8" i="7"/>
  <c r="J8" i="7" s="1"/>
  <c r="G8" i="8"/>
  <c r="G36" i="8" s="1"/>
  <c r="G38" i="8" s="1"/>
  <c r="M8" i="6"/>
  <c r="H8" i="6"/>
  <c r="E19" i="8"/>
  <c r="N19" i="7"/>
  <c r="M19" i="8"/>
  <c r="B20" i="9"/>
  <c r="F19" i="7"/>
  <c r="M19" i="6"/>
  <c r="H19" i="6"/>
  <c r="N19" i="8"/>
  <c r="N16" i="8"/>
  <c r="N8" i="8"/>
  <c r="J19" i="7"/>
  <c r="E28" i="8"/>
  <c r="N28" i="7"/>
  <c r="I36" i="7"/>
  <c r="I38" i="7" s="1"/>
  <c r="F28" i="7"/>
  <c r="J28" i="7" s="1"/>
  <c r="G28" i="8"/>
  <c r="M28" i="6"/>
  <c r="H28" i="6"/>
  <c r="N28" i="8" s="1"/>
  <c r="E34" i="8"/>
  <c r="N34" i="7"/>
  <c r="B35" i="9"/>
  <c r="E35" i="9" s="1"/>
  <c r="F34" i="7"/>
  <c r="J34" i="7" s="1"/>
  <c r="M34" i="6"/>
  <c r="H34" i="6"/>
  <c r="N34" i="8"/>
  <c r="E14" i="8"/>
  <c r="N14" i="7"/>
  <c r="F14" i="7"/>
  <c r="J14" i="7"/>
  <c r="M14" i="6"/>
  <c r="E15" i="8"/>
  <c r="N15" i="7"/>
  <c r="F15" i="7"/>
  <c r="J15" i="7" s="1"/>
  <c r="M15" i="6"/>
  <c r="H15" i="6"/>
  <c r="N15" i="8"/>
  <c r="N17" i="7"/>
  <c r="F17" i="7"/>
  <c r="J17" i="7" s="1"/>
  <c r="M17" i="6"/>
  <c r="H17" i="6"/>
  <c r="N17" i="8" s="1"/>
  <c r="L30" i="8"/>
  <c r="F30" i="7"/>
  <c r="M30" i="6"/>
  <c r="H30" i="6"/>
  <c r="N30" i="8"/>
  <c r="J30" i="7"/>
  <c r="E17" i="8"/>
  <c r="F18" i="9"/>
  <c r="H18" i="9"/>
  <c r="Z51" i="13"/>
  <c r="U51" i="13"/>
  <c r="U52" i="13"/>
  <c r="P51" i="13"/>
  <c r="P52" i="13"/>
  <c r="L52" i="13"/>
  <c r="K51" i="13"/>
  <c r="K52" i="13" s="1"/>
  <c r="H52" i="13"/>
  <c r="F51" i="13"/>
  <c r="K51" i="11"/>
  <c r="K52" i="11" s="1"/>
  <c r="G51" i="11"/>
  <c r="C18" i="3"/>
  <c r="C12" i="5"/>
  <c r="E12" i="5"/>
  <c r="N51" i="10"/>
  <c r="C15" i="3"/>
  <c r="C8" i="5"/>
  <c r="C11" i="3"/>
  <c r="C20" i="5"/>
  <c r="E20" i="5"/>
  <c r="C19" i="5"/>
  <c r="E19" i="5"/>
  <c r="C9" i="3"/>
  <c r="H51" i="10"/>
  <c r="M15" i="12" s="1"/>
  <c r="N15" i="12" s="1"/>
  <c r="M14" i="12"/>
  <c r="N14" i="12"/>
  <c r="B52" i="10"/>
  <c r="E11" i="8"/>
  <c r="N11" i="7"/>
  <c r="F11" i="7"/>
  <c r="J11" i="7" s="1"/>
  <c r="G11" i="8"/>
  <c r="M11" i="6"/>
  <c r="H11" i="6"/>
  <c r="J11" i="8"/>
  <c r="M13" i="12"/>
  <c r="N13" i="12"/>
  <c r="F52" i="13"/>
  <c r="E8" i="5"/>
  <c r="AJ51" i="13"/>
  <c r="C6" i="3"/>
  <c r="C16" i="5"/>
  <c r="N11" i="8"/>
  <c r="D14" i="9"/>
  <c r="M31" i="12"/>
  <c r="N31" i="12" s="1"/>
  <c r="N37" i="8"/>
  <c r="M30" i="12"/>
  <c r="N30" i="12"/>
  <c r="E18" i="8"/>
  <c r="H19" i="9"/>
  <c r="N18" i="7"/>
  <c r="F18" i="8"/>
  <c r="I18" i="8"/>
  <c r="M18" i="6"/>
  <c r="H18" i="6"/>
  <c r="N18" i="8" s="1"/>
  <c r="F37" i="7"/>
  <c r="J37" i="7" s="1"/>
  <c r="E7" i="8"/>
  <c r="F8" i="9"/>
  <c r="H8" i="9"/>
  <c r="N7" i="7"/>
  <c r="K36" i="7"/>
  <c r="K38" i="7" s="1"/>
  <c r="F7" i="7"/>
  <c r="J7" i="7" s="1"/>
  <c r="M7" i="6"/>
  <c r="J36" i="6"/>
  <c r="J38" i="6"/>
  <c r="F36" i="6"/>
  <c r="F38" i="6"/>
  <c r="H7" i="6"/>
  <c r="J7" i="8"/>
  <c r="E6" i="8"/>
  <c r="F7" i="9"/>
  <c r="H7" i="9" s="1"/>
  <c r="N6" i="7"/>
  <c r="N36" i="7" s="1"/>
  <c r="N38" i="7" s="1"/>
  <c r="M36" i="7"/>
  <c r="M38" i="7"/>
  <c r="B20" i="2" s="1"/>
  <c r="F6" i="8"/>
  <c r="F6" i="7"/>
  <c r="C29" i="3"/>
  <c r="B17" i="3"/>
  <c r="M6" i="6"/>
  <c r="M36" i="6" s="1"/>
  <c r="M38" i="6" s="1"/>
  <c r="H6" i="6"/>
  <c r="N7" i="8"/>
  <c r="J6" i="7"/>
  <c r="N6" i="8"/>
  <c r="D38" i="8"/>
  <c r="B12" i="2"/>
  <c r="M19" i="12"/>
  <c r="N19" i="12"/>
  <c r="M17" i="12"/>
  <c r="N17" i="12"/>
  <c r="E23" i="8"/>
  <c r="E36" i="8"/>
  <c r="E38" i="8" s="1"/>
  <c r="N23" i="7"/>
  <c r="M23" i="8"/>
  <c r="F23" i="7"/>
  <c r="G23" i="8"/>
  <c r="C28" i="3"/>
  <c r="E28" i="3" s="1"/>
  <c r="B16" i="3"/>
  <c r="M23" i="6"/>
  <c r="I36" i="6"/>
  <c r="I38" i="6"/>
  <c r="C27" i="3" s="1"/>
  <c r="C38" i="3"/>
  <c r="E38" i="3"/>
  <c r="B11" i="3"/>
  <c r="D11" i="3"/>
  <c r="B10" i="3"/>
  <c r="C36" i="3"/>
  <c r="E36" i="3"/>
  <c r="B9" i="3"/>
  <c r="D9" i="3"/>
  <c r="C37" i="3"/>
  <c r="E37" i="3"/>
  <c r="B7" i="3"/>
  <c r="C35" i="3"/>
  <c r="E35" i="3" s="1"/>
  <c r="K23" i="8"/>
  <c r="H23" i="6"/>
  <c r="B36" i="6"/>
  <c r="B38" i="6" s="1"/>
  <c r="M22" i="12"/>
  <c r="N22" i="12" s="1"/>
  <c r="B24" i="9"/>
  <c r="E24" i="9" s="1"/>
  <c r="B15" i="3"/>
  <c r="D15" i="3" s="1"/>
  <c r="N23" i="8"/>
  <c r="E16" i="9"/>
  <c r="D36" i="9"/>
  <c r="E19" i="9"/>
  <c r="D35" i="9"/>
  <c r="D15" i="9"/>
  <c r="E16" i="5"/>
  <c r="D25" i="9"/>
  <c r="D24" i="9"/>
  <c r="E28" i="9"/>
  <c r="D18" i="9"/>
  <c r="D22" i="9"/>
  <c r="M28" i="12"/>
  <c r="N28" i="12" s="1"/>
  <c r="N26" i="12"/>
  <c r="D27" i="9"/>
  <c r="E27" i="9"/>
  <c r="E20" i="9"/>
  <c r="D20" i="9"/>
  <c r="D32" i="9"/>
  <c r="E32" i="9"/>
  <c r="D17" i="9"/>
  <c r="E17" i="9"/>
  <c r="D21" i="9"/>
  <c r="E21" i="9"/>
  <c r="D29" i="9"/>
  <c r="E29" i="9"/>
  <c r="E8" i="9"/>
  <c r="D8" i="9"/>
  <c r="E34" i="9"/>
  <c r="D34" i="9"/>
  <c r="D26" i="9"/>
  <c r="E26" i="9"/>
  <c r="D12" i="9"/>
  <c r="E12" i="9"/>
  <c r="D11" i="9"/>
  <c r="D9" i="9"/>
  <c r="E13" i="9"/>
  <c r="E31" i="9"/>
  <c r="E29" i="3"/>
  <c r="D33" i="9"/>
  <c r="D38" i="9"/>
  <c r="D30" i="9"/>
  <c r="C34" i="3" l="1"/>
  <c r="B6" i="3"/>
  <c r="E27" i="3"/>
  <c r="C16" i="3"/>
  <c r="C10" i="5"/>
  <c r="E10" i="5" s="1"/>
  <c r="D34" i="5"/>
  <c r="E9" i="5"/>
  <c r="D16" i="3"/>
  <c r="C7" i="3"/>
  <c r="D7" i="3" s="1"/>
  <c r="C17" i="5"/>
  <c r="E17" i="5" s="1"/>
  <c r="C11" i="5"/>
  <c r="E11" i="5" s="1"/>
  <c r="C17" i="3"/>
  <c r="D17" i="3" s="1"/>
  <c r="E7" i="9"/>
  <c r="D7" i="9"/>
  <c r="K36" i="8"/>
  <c r="K38" i="8" s="1"/>
  <c r="Z22" i="13"/>
  <c r="Z50" i="13" s="1"/>
  <c r="D41" i="5"/>
  <c r="H36" i="8"/>
  <c r="H38" i="8" s="1"/>
  <c r="H42" i="10"/>
  <c r="AJ42" i="13" s="1"/>
  <c r="H26" i="10"/>
  <c r="AJ26" i="13" s="1"/>
  <c r="AA50" i="13"/>
  <c r="AA52" i="13" s="1"/>
  <c r="AI50" i="13"/>
  <c r="AI52" i="13" s="1"/>
  <c r="AG25" i="13"/>
  <c r="AG50" i="13" s="1"/>
  <c r="AG52" i="13" s="1"/>
  <c r="H25" i="10"/>
  <c r="N33" i="10"/>
  <c r="N50" i="10" s="1"/>
  <c r="N52" i="10" s="1"/>
  <c r="D50" i="10"/>
  <c r="D52" i="10" s="1"/>
  <c r="AC50" i="13"/>
  <c r="AC52" i="13" s="1"/>
  <c r="AE50" i="13"/>
  <c r="AE52" i="13" s="1"/>
  <c r="AF50" i="13"/>
  <c r="AF52" i="13" s="1"/>
  <c r="J23" i="7"/>
  <c r="L36" i="8"/>
  <c r="L38" i="8" s="1"/>
  <c r="F50" i="10"/>
  <c r="F52" i="10" s="1"/>
  <c r="I10" i="8"/>
  <c r="I36" i="8" s="1"/>
  <c r="I38" i="8" s="1"/>
  <c r="D36" i="6"/>
  <c r="D38" i="6" s="1"/>
  <c r="L36" i="6"/>
  <c r="L38" i="6" s="1"/>
  <c r="F5" i="7"/>
  <c r="J5" i="7" s="1"/>
  <c r="J36" i="7" s="1"/>
  <c r="J38" i="7" s="1"/>
  <c r="M5" i="8"/>
  <c r="F5" i="8"/>
  <c r="F36" i="8" s="1"/>
  <c r="F38" i="8" s="1"/>
  <c r="B16" i="2" s="1"/>
  <c r="F6" i="9"/>
  <c r="C36" i="8"/>
  <c r="J22" i="8"/>
  <c r="H14" i="6"/>
  <c r="J14" i="8"/>
  <c r="J36" i="8" s="1"/>
  <c r="J38" i="8" s="1"/>
  <c r="F18" i="7"/>
  <c r="J18" i="7" s="1"/>
  <c r="N14" i="8" l="1"/>
  <c r="N36" i="8" s="1"/>
  <c r="N38" i="8" s="1"/>
  <c r="H36" i="6"/>
  <c r="B8" i="3"/>
  <c r="C39" i="3"/>
  <c r="E39" i="3" s="1"/>
  <c r="C8" i="3"/>
  <c r="C21" i="5"/>
  <c r="E21" i="5" s="1"/>
  <c r="F37" i="9"/>
  <c r="H6" i="9"/>
  <c r="M36" i="8"/>
  <c r="B6" i="9"/>
  <c r="B18" i="3"/>
  <c r="C30" i="3"/>
  <c r="AJ25" i="13"/>
  <c r="AJ50" i="13" s="1"/>
  <c r="AJ52" i="13" s="1"/>
  <c r="H50" i="10"/>
  <c r="M9" i="12"/>
  <c r="N9" i="12" s="1"/>
  <c r="Z52" i="13"/>
  <c r="C19" i="3"/>
  <c r="C40" i="3"/>
  <c r="E40" i="3" s="1"/>
  <c r="E34" i="3"/>
  <c r="M18" i="12"/>
  <c r="C38" i="8"/>
  <c r="B11" i="2" s="1"/>
  <c r="B14" i="2" s="1"/>
  <c r="B18" i="2" s="1"/>
  <c r="B22" i="2" s="1"/>
  <c r="B29" i="2" s="1"/>
  <c r="F36" i="7"/>
  <c r="F38" i="7" s="1"/>
  <c r="C18" i="5"/>
  <c r="E18" i="5" s="1"/>
  <c r="C10" i="3"/>
  <c r="D10" i="3" s="1"/>
  <c r="C13" i="5"/>
  <c r="E13" i="5" s="1"/>
  <c r="C22" i="5"/>
  <c r="E22" i="5" s="1"/>
  <c r="B12" i="3"/>
  <c r="D6" i="3"/>
  <c r="D18" i="3" l="1"/>
  <c r="D19" i="3" s="1"/>
  <c r="B19" i="3"/>
  <c r="M21" i="12"/>
  <c r="N21" i="12" s="1"/>
  <c r="M38" i="8"/>
  <c r="H37" i="9"/>
  <c r="F39" i="9"/>
  <c r="H39" i="9" s="1"/>
  <c r="C12" i="3"/>
  <c r="D8" i="3"/>
  <c r="D12" i="3"/>
  <c r="N18" i="12"/>
  <c r="M20" i="12"/>
  <c r="N20" i="12" s="1"/>
  <c r="H52" i="10"/>
  <c r="M11" i="12"/>
  <c r="N11" i="12" s="1"/>
  <c r="E30" i="3"/>
  <c r="C31" i="3"/>
  <c r="E31" i="3" s="1"/>
  <c r="E6" i="9"/>
  <c r="B37" i="9"/>
  <c r="D6" i="9"/>
  <c r="D37" i="9" s="1"/>
  <c r="D39" i="9" s="1"/>
  <c r="M23" i="12"/>
  <c r="N23" i="12" s="1"/>
  <c r="H38" i="6"/>
  <c r="B39" i="9" l="1"/>
  <c r="E39" i="9" s="1"/>
  <c r="E37" i="9"/>
</calcChain>
</file>

<file path=xl/sharedStrings.xml><?xml version="1.0" encoding="utf-8"?>
<sst xmlns="http://schemas.openxmlformats.org/spreadsheetml/2006/main" count="562" uniqueCount="237">
  <si>
    <t>Amount in Million BDT</t>
  </si>
  <si>
    <t>Particulars</t>
  </si>
  <si>
    <t>Comparartive Analysis</t>
  </si>
  <si>
    <t>Premium Less Reinsurance</t>
  </si>
  <si>
    <t>First Year Premium</t>
  </si>
  <si>
    <t>Renewal Premium</t>
  </si>
  <si>
    <t>Group Insurance Premium</t>
  </si>
  <si>
    <t>Gross Premium</t>
  </si>
  <si>
    <t>Less: Reinsurance</t>
  </si>
  <si>
    <t>Net Premium</t>
  </si>
  <si>
    <t>Total Revenue</t>
  </si>
  <si>
    <t>Claim Under Policies</t>
  </si>
  <si>
    <t>Allowance of Commission</t>
  </si>
  <si>
    <t>Agenecy of Commission</t>
  </si>
  <si>
    <t>Other Expenses</t>
  </si>
  <si>
    <t>Total Expenses</t>
  </si>
  <si>
    <t>Balance of Life fund at The end of the year</t>
  </si>
  <si>
    <t>Life</t>
  </si>
  <si>
    <t>Non-Life</t>
  </si>
  <si>
    <t>Total</t>
  </si>
  <si>
    <t>Comparative</t>
  </si>
  <si>
    <t>Assets</t>
  </si>
  <si>
    <t>Consolideted Balance Sheet of all Insurance Companies including JBC and SBC</t>
  </si>
  <si>
    <t>Investment</t>
  </si>
  <si>
    <t>Fixed Deposit</t>
  </si>
  <si>
    <t>Cash and Bank Balances</t>
  </si>
  <si>
    <t>Debtors</t>
  </si>
  <si>
    <t>Other Assets</t>
  </si>
  <si>
    <t>Fixed  Assets</t>
  </si>
  <si>
    <t>Liabilities</t>
  </si>
  <si>
    <t>Share Capital</t>
  </si>
  <si>
    <t>Balance of Fund</t>
  </si>
  <si>
    <t>Reserve</t>
  </si>
  <si>
    <t>Creditors</t>
  </si>
  <si>
    <t>Consolidated Statement Financial Position of</t>
  </si>
  <si>
    <t>Life Insurance Companies including JBC</t>
  </si>
  <si>
    <t>Balance of Fund and Accounts</t>
  </si>
  <si>
    <t>Liabilities, creditors and other Provisions</t>
  </si>
  <si>
    <t>Total Capital and Liablilities</t>
  </si>
  <si>
    <t>Issued, Subscribed and Paidup Capital</t>
  </si>
  <si>
    <t>Property and Assets</t>
  </si>
  <si>
    <t>Other assets</t>
  </si>
  <si>
    <t>Fixed Assets</t>
  </si>
  <si>
    <t>Cash, Bank and Other Balances</t>
  </si>
  <si>
    <t>Total Property and Assets</t>
  </si>
  <si>
    <t>Consolidated Life Revenue Account of</t>
  </si>
  <si>
    <t>Life Insurance Companies (Including JBC)</t>
  </si>
  <si>
    <t>Balance of fund at the beginning of the year as shown in the Balance sheet</t>
  </si>
  <si>
    <t>Non-Life Insurance Companies including SBC</t>
  </si>
  <si>
    <t>Growth</t>
  </si>
  <si>
    <t>Non-Life Insurance Companies (Including SBC)</t>
  </si>
  <si>
    <t>Re Insurance Commission Ceded and other Income</t>
  </si>
  <si>
    <t>Claim Under Policies less reinsurance</t>
  </si>
  <si>
    <t>Management Expese</t>
  </si>
  <si>
    <t>Agency Commission</t>
  </si>
  <si>
    <t>Unexpired Risk or Reserve</t>
  </si>
  <si>
    <t>Profit/Loss</t>
  </si>
  <si>
    <t>Name of The Company</t>
  </si>
  <si>
    <t xml:space="preserve">MetLife </t>
  </si>
  <si>
    <t xml:space="preserve">Best Life Insurance Co. Ltd. </t>
  </si>
  <si>
    <t>Fareast Islami life Ins. Co. Ltd.</t>
  </si>
  <si>
    <t xml:space="preserve">Golden Life Insurance Ltd. </t>
  </si>
  <si>
    <t xml:space="preserve">Guardian Life Insurance Ltd. </t>
  </si>
  <si>
    <t>Jamuna Life Insurance Co. Ltd.</t>
  </si>
  <si>
    <t xml:space="preserve">Life Insurance Corporation </t>
  </si>
  <si>
    <t>Meghna Life Insurance Co. Ltd.</t>
  </si>
  <si>
    <t>National Life Insurance Co. Ltd.</t>
  </si>
  <si>
    <t>NRB Global Life Ins. Co. Ltd.</t>
  </si>
  <si>
    <t xml:space="preserve">Prime Islami Life Insurance Ltd. </t>
  </si>
  <si>
    <t>Sandhani Life Ins. Co. Ltd.</t>
  </si>
  <si>
    <t>Sunflower Life Ins. Co. Ltd.</t>
  </si>
  <si>
    <t>Swadesh Life Insurance Co. Ltd.</t>
  </si>
  <si>
    <t>Homeland Life Ins. Co. Ltd.</t>
  </si>
  <si>
    <t>Protective Islami Life Ins. Ltd.</t>
  </si>
  <si>
    <t>Rupalli Life Insurance Co. Ltd.</t>
  </si>
  <si>
    <t xml:space="preserve">Alpha Islami Life Insurance Ltd.  </t>
  </si>
  <si>
    <t>BAIRA Life Insurance Co. Ltd.</t>
  </si>
  <si>
    <t xml:space="preserve">Chartered Life Insurance Co. Ltd </t>
  </si>
  <si>
    <t>Delta Life Insurance Co. Ltd.</t>
  </si>
  <si>
    <t xml:space="preserve">Mercantile Islami Life Ins. Ltd. </t>
  </si>
  <si>
    <t>Popular Life Insurance Co. Ltd.</t>
  </si>
  <si>
    <t xml:space="preserve">Padma Islami Life Insurnce Ltd.  </t>
  </si>
  <si>
    <t xml:space="preserve">Pragati Life Insurance Ltd. </t>
  </si>
  <si>
    <t xml:space="preserve">Sun Life Insurance Co. Ltd.  </t>
  </si>
  <si>
    <t>Sonali Life Insurance Co. Ltd.</t>
  </si>
  <si>
    <t xml:space="preserve">Trust Islarni Life Insurance Ltd.  </t>
  </si>
  <si>
    <t xml:space="preserve">Zenith Islami Life Insurance Ltd. </t>
  </si>
  <si>
    <t>Sub Total</t>
  </si>
  <si>
    <t xml:space="preserve">Jibon Bima Corporation </t>
  </si>
  <si>
    <t>Grand Total</t>
  </si>
  <si>
    <t>Cash &amp; Bank Balance (Excluding FDR)</t>
  </si>
  <si>
    <t>Total Assets</t>
  </si>
  <si>
    <t>Liability</t>
  </si>
  <si>
    <t>Balance of Fund Account</t>
  </si>
  <si>
    <t>Total Liability</t>
  </si>
  <si>
    <t>Expense</t>
  </si>
  <si>
    <t>Income</t>
  </si>
  <si>
    <t xml:space="preserve">Total </t>
  </si>
  <si>
    <t>Net Claim</t>
  </si>
  <si>
    <t>Allowance &amp; Commission</t>
  </si>
  <si>
    <t>Others Exp</t>
  </si>
  <si>
    <t>Total Mgt. Exp</t>
  </si>
  <si>
    <t>Dividend</t>
  </si>
  <si>
    <t>Life fund as of current year</t>
  </si>
  <si>
    <t>Income Tax</t>
  </si>
  <si>
    <t>Last year Balance</t>
  </si>
  <si>
    <t>Premium Income</t>
  </si>
  <si>
    <t>1st Year</t>
  </si>
  <si>
    <t>Renewal</t>
  </si>
  <si>
    <t>Group Term &amp; Others</t>
  </si>
  <si>
    <t>Life Fund</t>
  </si>
  <si>
    <t>Growth of Life Fund</t>
  </si>
  <si>
    <t>Increase/Decrease Life Fund</t>
  </si>
  <si>
    <t>Growth of 1st year premium</t>
  </si>
  <si>
    <t>1st Year Premium 2017</t>
  </si>
  <si>
    <t>Growth (%)</t>
  </si>
  <si>
    <t>Agrani Insurance Co. Ltd.</t>
  </si>
  <si>
    <t>Asia Insurance Limited</t>
  </si>
  <si>
    <t>Asia Pacific Gen. ins. Co. Ltd</t>
  </si>
  <si>
    <t>Bangladesh Gen. Ins.Co.Ltd</t>
  </si>
  <si>
    <t>Bangladesh Co-operative Ins. Ltd</t>
  </si>
  <si>
    <t>Bangladesh National Ins.Co.Ltd</t>
  </si>
  <si>
    <t>Central Insurance Co. Ltd</t>
  </si>
  <si>
    <t>City Gen. Insurance Co.Ltd</t>
  </si>
  <si>
    <t>Continental Insurance Limited</t>
  </si>
  <si>
    <t>Crystal Insurance Company Ltd</t>
  </si>
  <si>
    <t>Dhaka Insurance Ltd</t>
  </si>
  <si>
    <t>Desh Gen. Ins. Co.Ltd</t>
  </si>
  <si>
    <t>Eastern Insurance Co.Ltd</t>
  </si>
  <si>
    <t>Eastland Insurance Co.Ltd</t>
  </si>
  <si>
    <t>Express Insurance Limited</t>
  </si>
  <si>
    <t>Federal insurance Co. Ltd</t>
  </si>
  <si>
    <t>Green Delta Ins. Co. Ltd</t>
  </si>
  <si>
    <t>Global Insurance Ltd</t>
  </si>
  <si>
    <t>Islami Insurance Bangladesh Ltd</t>
  </si>
  <si>
    <t>Islami Commercial Ins.Co.Ltd</t>
  </si>
  <si>
    <t>Janata Insurance Co. Ltd</t>
  </si>
  <si>
    <t>Karnafuli Insurance Co.Ltd</t>
  </si>
  <si>
    <t>Meghna Insurance Co. Ltd</t>
  </si>
  <si>
    <t>Mercantile Insurance Co. Ltd</t>
  </si>
  <si>
    <t>Northern Gen.Ins. Co.Ltd</t>
  </si>
  <si>
    <t>Nitol Insurance Co.Ltd</t>
  </si>
  <si>
    <t>Peoples Insurance Co. Ltd</t>
  </si>
  <si>
    <t>Pragati Insurance Limited</t>
  </si>
  <si>
    <t>PhoenixInsurance Co.Ltd</t>
  </si>
  <si>
    <t>Purabi Gen. Insurance Co. Ltd</t>
  </si>
  <si>
    <t>Provati Insurance Co.Ltd</t>
  </si>
  <si>
    <t>Prime Insurance Co.Ltd</t>
  </si>
  <si>
    <t>Pioneer Insurance Co.Ltd</t>
  </si>
  <si>
    <t>Paramount Insurance Co.Ltd</t>
  </si>
  <si>
    <t>Reliance Insurance Limited</t>
  </si>
  <si>
    <t>Rupali Insurance Co. Ltd</t>
  </si>
  <si>
    <t>Standard Insurance Limited</t>
  </si>
  <si>
    <t>South Asia Ins. Co. Ltd</t>
  </si>
  <si>
    <t>Sonar Bangla Insurance Ltd</t>
  </si>
  <si>
    <t>Sikder Insurance Co. Ltd</t>
  </si>
  <si>
    <t>Sena Kalyan Insurance Co. Ltd</t>
  </si>
  <si>
    <t>Takaful Islami Insurance Ltd</t>
  </si>
  <si>
    <t>United Insurance Co.Ltd</t>
  </si>
  <si>
    <t>Union Insurance Co. Ltd</t>
  </si>
  <si>
    <t>Sadharan Bima Corporation</t>
  </si>
  <si>
    <t>Share Premium</t>
  </si>
  <si>
    <t>Claim Under Policies Less Re-Insurance</t>
  </si>
  <si>
    <t>Mgt. Exp. Including stamp duty &amp; other Exp</t>
  </si>
  <si>
    <t>Unexpired risk Reservs</t>
  </si>
  <si>
    <t>Opening Balance</t>
  </si>
  <si>
    <t>Re-Insurance Commission Other Income</t>
  </si>
  <si>
    <t>Progress of all Insurance Companies at a Glance During Last 12 Years</t>
  </si>
  <si>
    <t>Item</t>
  </si>
  <si>
    <t>Gross Premium (Private)</t>
  </si>
  <si>
    <t>Private Sector Non-Life Insurance Companies</t>
  </si>
  <si>
    <t>Year 2007</t>
  </si>
  <si>
    <t>Year 2008</t>
  </si>
  <si>
    <t>Year 2009</t>
  </si>
  <si>
    <t>Year 2010</t>
  </si>
  <si>
    <t>Year 2011</t>
  </si>
  <si>
    <t>Year 2012</t>
  </si>
  <si>
    <t>Year 2013</t>
  </si>
  <si>
    <t>Year 2014</t>
  </si>
  <si>
    <t>Year 2015</t>
  </si>
  <si>
    <t>Year 2016</t>
  </si>
  <si>
    <t>Year 2017</t>
  </si>
  <si>
    <t>CAGR</t>
  </si>
  <si>
    <t>Gross Claim</t>
  </si>
  <si>
    <t>Underwriting Profit</t>
  </si>
  <si>
    <t>Investment (Including FDR)</t>
  </si>
  <si>
    <t>Public Sector Sadharan Bima Corporation</t>
  </si>
  <si>
    <t>Gross Premium (Public)</t>
  </si>
  <si>
    <t>Private Sector Life Insurance Companies</t>
  </si>
  <si>
    <t>1st Year Premium</t>
  </si>
  <si>
    <t>Group terms &amp; Others</t>
  </si>
  <si>
    <t>Total Premium (Private)</t>
  </si>
  <si>
    <t>Public Sector Jibon Bima Corporation</t>
  </si>
  <si>
    <t>Total Premium (Public)</t>
  </si>
  <si>
    <t>Fire</t>
  </si>
  <si>
    <t>Marine</t>
  </si>
  <si>
    <t>Motor</t>
  </si>
  <si>
    <t>Misc/Acct</t>
  </si>
  <si>
    <t>Income Tax Provision</t>
  </si>
  <si>
    <t>Devidend (Cash)</t>
  </si>
  <si>
    <t>Reserve for the Year</t>
  </si>
  <si>
    <t>Last Year Balance</t>
  </si>
  <si>
    <t>Fixed Deposit with Bank</t>
  </si>
  <si>
    <t>Investment/ Other Income</t>
  </si>
  <si>
    <t>Creditors &amp; Others</t>
  </si>
  <si>
    <t>Republic Insurance Co. Ltd</t>
  </si>
  <si>
    <t>Investment (Includinh FDR)</t>
  </si>
  <si>
    <t>Underwriting Profit/loss</t>
  </si>
  <si>
    <t xml:space="preserve">Net Profit </t>
  </si>
  <si>
    <t xml:space="preserve">Balance of P&amp;L Appropriation </t>
  </si>
  <si>
    <t>Interest &amp; Other Income</t>
  </si>
  <si>
    <t>Interest &amp; other Income</t>
  </si>
  <si>
    <t>Progressive Life Ins. Co.Ltd.</t>
  </si>
  <si>
    <t xml:space="preserve">Progressive Life Ins. Co.Ltd. </t>
  </si>
  <si>
    <t>As on 31st December, 2018</t>
  </si>
  <si>
    <t>as on 31st December 2018</t>
  </si>
  <si>
    <t>For the Year Ended 31st December 2018</t>
  </si>
  <si>
    <t>As on 31st December 2018</t>
  </si>
  <si>
    <t>Balance Sheet of Life Insurance Companies (2018)</t>
  </si>
  <si>
    <t>Revenue Account of Life Insurance Companies (2018)</t>
  </si>
  <si>
    <t>Achievement of Life Insurance Companies (2018)</t>
  </si>
  <si>
    <t>1st Year Premium 2018</t>
  </si>
  <si>
    <t>Growth of Life Fund and Premium Income of Life Insurance Companies (2017-2018)</t>
  </si>
  <si>
    <t>Life Fund Current Year (2018)</t>
  </si>
  <si>
    <t>Life Fund Last Year (2017)</t>
  </si>
  <si>
    <t>Year 2018</t>
  </si>
  <si>
    <t>Revenue Account of Non-Life Insurance Companies (2018)</t>
  </si>
  <si>
    <t>Balance Sheet of Non-Life Insurance Companies (2018)</t>
  </si>
  <si>
    <t>MetLife</t>
  </si>
  <si>
    <t>Chartered Life Insurance Co. Ltd.</t>
  </si>
  <si>
    <r>
      <t>Diamond Life Insurance Co. Ltd.</t>
    </r>
    <r>
      <rPr>
        <u/>
        <sz val="6.5"/>
        <rFont val="Tahoma"/>
        <family val="2"/>
      </rPr>
      <t/>
    </r>
  </si>
  <si>
    <r>
      <t>Add: Other Income</t>
    </r>
    <r>
      <rPr>
        <sz val="9"/>
        <color indexed="53"/>
        <rFont val="Tahoma"/>
        <family val="2"/>
      </rPr>
      <t xml:space="preserve"> (with Investment Income)</t>
    </r>
  </si>
  <si>
    <r>
      <t>Diamond Life Insurance Co. Ltd.</t>
    </r>
    <r>
      <rPr>
        <vertAlign val="subscript"/>
        <sz val="8"/>
        <rFont val="Tahoma"/>
        <family val="2"/>
      </rPr>
      <t>1</t>
    </r>
    <r>
      <rPr>
        <u/>
        <sz val="6.5"/>
        <rFont val="Tahoma"/>
        <family val="2"/>
      </rPr>
      <t/>
    </r>
  </si>
  <si>
    <r>
      <t>Republic Insurance Co.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Ltd</t>
    </r>
  </si>
  <si>
    <t>Name of the Company</t>
  </si>
  <si>
    <t>Achievement of Non-Life Insurance Companies (2018)</t>
  </si>
  <si>
    <r>
      <t>Republic Insurance Co.</t>
    </r>
    <r>
      <rPr>
        <b/>
        <sz val="7.5"/>
        <rFont val="Tahoma"/>
        <family val="2"/>
      </rPr>
      <t xml:space="preserve"> </t>
    </r>
    <r>
      <rPr>
        <sz val="7.5"/>
        <rFont val="Tahoma"/>
        <family val="2"/>
      </rPr>
      <t>Ltd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</si>
</sst>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6" formatCode="0,000.00"/>
    <numFmt numFmtId="170" formatCode="_(* #,##0.0000_);_(* \(#,##0.0000\);_(* &quot;-&quot;??_);_(@_)"/>
    <numFmt numFmtId="173" formatCode="_(* #,##0.000000_);_(* \(#,##0.000000\);_(* &quot;-&quot;??_);_(@_)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/>
      <sz val="6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vertAlign val="superscript"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color indexed="53"/>
      <name val="Tahoma"/>
      <family val="2"/>
    </font>
    <font>
      <vertAlign val="subscript"/>
      <sz val="8"/>
      <name val="Tahoma"/>
      <family val="2"/>
    </font>
    <font>
      <b/>
      <u/>
      <sz val="8"/>
      <name val="Tahoma"/>
      <family val="2"/>
    </font>
    <font>
      <b/>
      <sz val="7.5"/>
      <name val="Tahoma"/>
      <family val="2"/>
    </font>
    <font>
      <sz val="7.5"/>
      <name val="Tahoma"/>
      <family val="2"/>
    </font>
    <font>
      <b/>
      <sz val="10"/>
      <name val="Arial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</cellStyleXfs>
  <cellXfs count="15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6" fillId="0" borderId="0" xfId="0" applyFont="1"/>
    <xf numFmtId="43" fontId="3" fillId="0" borderId="0" xfId="1" applyFont="1" applyAlignment="1">
      <alignment vertical="center"/>
    </xf>
    <xf numFmtId="0" fontId="2" fillId="0" borderId="0" xfId="0" applyFont="1"/>
    <xf numFmtId="0" fontId="2" fillId="2" borderId="0" xfId="0" applyFont="1" applyFill="1"/>
    <xf numFmtId="173" fontId="3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43" fontId="11" fillId="0" borderId="1" xfId="1" applyFont="1" applyFill="1" applyBorder="1" applyAlignment="1">
      <alignment vertical="center"/>
    </xf>
    <xf numFmtId="43" fontId="11" fillId="0" borderId="1" xfId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43" fontId="15" fillId="0" borderId="1" xfId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166" fontId="11" fillId="0" borderId="1" xfId="0" applyNumberFormat="1" applyFont="1" applyFill="1" applyBorder="1" applyAlignment="1">
      <alignment vertical="center"/>
    </xf>
    <xf numFmtId="43" fontId="11" fillId="0" borderId="1" xfId="1" applyFont="1" applyBorder="1" applyAlignment="1">
      <alignment vertical="center"/>
    </xf>
    <xf numFmtId="43" fontId="15" fillId="0" borderId="1" xfId="1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43" fontId="15" fillId="0" borderId="3" xfId="1" applyFont="1" applyFill="1" applyBorder="1" applyAlignment="1">
      <alignment vertical="center"/>
    </xf>
    <xf numFmtId="43" fontId="15" fillId="0" borderId="1" xfId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vertical="center" wrapText="1"/>
    </xf>
    <xf numFmtId="43" fontId="11" fillId="0" borderId="3" xfId="1" applyFont="1" applyFill="1" applyBorder="1" applyAlignment="1">
      <alignment vertical="center"/>
    </xf>
    <xf numFmtId="43" fontId="11" fillId="0" borderId="1" xfId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43" fontId="11" fillId="0" borderId="2" xfId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43" fontId="15" fillId="0" borderId="2" xfId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3" fontId="15" fillId="0" borderId="1" xfId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applyFont="1" applyAlignment="1">
      <alignment horizontal="centerContinuous" vertical="center"/>
    </xf>
    <xf numFmtId="0" fontId="11" fillId="0" borderId="0" xfId="3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3" fontId="14" fillId="0" borderId="1" xfId="1" applyFont="1" applyBorder="1" applyAlignment="1">
      <alignment vertical="center"/>
    </xf>
    <xf numFmtId="43" fontId="23" fillId="0" borderId="1" xfId="1" applyFont="1" applyBorder="1" applyAlignment="1">
      <alignment vertical="center"/>
    </xf>
    <xf numFmtId="43" fontId="14" fillId="2" borderId="1" xfId="1" applyFont="1" applyFill="1" applyBorder="1" applyAlignment="1">
      <alignment vertical="center"/>
    </xf>
    <xf numFmtId="0" fontId="24" fillId="0" borderId="0" xfId="0" applyFont="1" applyAlignment="1">
      <alignment horizontal="centerContinuous" vertical="center"/>
    </xf>
    <xf numFmtId="0" fontId="10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 wrapText="1"/>
    </xf>
    <xf numFmtId="43" fontId="14" fillId="0" borderId="5" xfId="1" applyFont="1" applyBorder="1" applyAlignment="1">
      <alignment vertical="center"/>
    </xf>
    <xf numFmtId="43" fontId="1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13" fillId="0" borderId="1" xfId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43" fontId="14" fillId="0" borderId="1" xfId="1" applyNumberFormat="1" applyFont="1" applyBorder="1" applyAlignment="1">
      <alignment vertical="center"/>
    </xf>
    <xf numFmtId="170" fontId="14" fillId="0" borderId="1" xfId="1" applyNumberFormat="1" applyFont="1" applyBorder="1" applyAlignment="1">
      <alignment vertical="center"/>
    </xf>
    <xf numFmtId="170" fontId="13" fillId="0" borderId="1" xfId="1" applyNumberFormat="1" applyFont="1" applyBorder="1" applyAlignment="1">
      <alignment vertical="center"/>
    </xf>
    <xf numFmtId="43" fontId="14" fillId="0" borderId="0" xfId="1" applyFont="1" applyAlignment="1">
      <alignment vertical="center"/>
    </xf>
    <xf numFmtId="43" fontId="13" fillId="0" borderId="1" xfId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43" fontId="14" fillId="0" borderId="1" xfId="1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9" fontId="14" fillId="0" borderId="1" xfId="2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43" fontId="20" fillId="0" borderId="1" xfId="1" applyFont="1" applyBorder="1" applyAlignment="1">
      <alignment vertical="center"/>
    </xf>
    <xf numFmtId="0" fontId="20" fillId="0" borderId="3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3" fontId="20" fillId="2" borderId="1" xfId="1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43" fontId="19" fillId="0" borderId="1" xfId="1" applyFont="1" applyBorder="1" applyAlignment="1">
      <alignment vertical="center"/>
    </xf>
    <xf numFmtId="0" fontId="21" fillId="0" borderId="0" xfId="0" applyFont="1"/>
    <xf numFmtId="0" fontId="9" fillId="0" borderId="4" xfId="0" applyFont="1" applyBorder="1" applyAlignment="1">
      <alignment horizontal="right" vertical="center"/>
    </xf>
    <xf numFmtId="43" fontId="11" fillId="0" borderId="1" xfId="1" applyFont="1" applyFill="1" applyBorder="1" applyAlignment="1">
      <alignment horizontal="center" vertical="center"/>
    </xf>
    <xf numFmtId="43" fontId="15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39B7"/>
      <rgbColor rgb="0050D6D0"/>
      <rgbColor rgb="00E0DB50"/>
      <rgbColor rgb="00A0FC50"/>
      <rgbColor rgb="0044D6D0"/>
      <rgbColor rgb="00CB263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9525</xdr:colOff>
      <xdr:row>24</xdr:row>
      <xdr:rowOff>0</xdr:rowOff>
    </xdr:to>
    <xdr:pic>
      <xdr:nvPicPr>
        <xdr:cNvPr id="16387" name="Picture 6">
          <a:extLst>
            <a:ext uri="{FF2B5EF4-FFF2-40B4-BE49-F238E27FC236}">
              <a16:creationId xmlns:a16="http://schemas.microsoft.com/office/drawing/2014/main" id="{512E8FFE-D658-43ED-9F7D-C5B027BC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95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6" workbookViewId="0">
      <selection activeCell="A30" sqref="A30:B30"/>
    </sheetView>
  </sheetViews>
  <sheetFormatPr defaultRowHeight="12.75" x14ac:dyDescent="0.2"/>
  <cols>
    <col min="1" max="1" width="28.7109375" style="1" customWidth="1"/>
    <col min="2" max="2" width="16.42578125" style="1" customWidth="1"/>
    <col min="3" max="3" width="18.85546875" style="1" customWidth="1"/>
    <col min="4" max="4" width="14.85546875" style="1" customWidth="1"/>
    <col min="5" max="5" width="13.28515625" style="1" customWidth="1"/>
    <col min="6" max="16384" width="9.140625" style="1"/>
  </cols>
  <sheetData>
    <row r="1" spans="1:5" ht="12" customHeight="1" x14ac:dyDescent="0.2">
      <c r="A1" s="18" t="s">
        <v>22</v>
      </c>
      <c r="B1" s="12"/>
      <c r="C1" s="12"/>
      <c r="D1" s="12"/>
      <c r="E1" s="12"/>
    </row>
    <row r="2" spans="1:5" ht="12" customHeight="1" x14ac:dyDescent="0.2">
      <c r="A2" s="18" t="s">
        <v>214</v>
      </c>
      <c r="B2" s="12"/>
      <c r="C2" s="12"/>
      <c r="D2" s="12"/>
      <c r="E2" s="12"/>
    </row>
    <row r="3" spans="1:5" ht="12" customHeight="1" x14ac:dyDescent="0.2">
      <c r="A3" s="13"/>
      <c r="B3" s="13"/>
      <c r="C3" s="13"/>
      <c r="D3" s="13"/>
      <c r="E3" s="13"/>
    </row>
    <row r="4" spans="1:5" ht="12" customHeight="1" x14ac:dyDescent="0.2">
      <c r="A4" s="13"/>
      <c r="B4" s="13"/>
      <c r="C4" s="13"/>
      <c r="D4" s="109" t="s">
        <v>0</v>
      </c>
      <c r="E4" s="109"/>
    </row>
    <row r="5" spans="1:5" ht="12" customHeight="1" x14ac:dyDescent="0.2">
      <c r="A5" s="27" t="s">
        <v>21</v>
      </c>
      <c r="B5" s="27" t="s">
        <v>17</v>
      </c>
      <c r="C5" s="27" t="s">
        <v>18</v>
      </c>
      <c r="D5" s="112" t="s">
        <v>19</v>
      </c>
      <c r="E5" s="112"/>
    </row>
    <row r="6" spans="1:5" ht="12" customHeight="1" x14ac:dyDescent="0.2">
      <c r="A6" s="28" t="s">
        <v>23</v>
      </c>
      <c r="B6" s="29">
        <f>+'year_book_2018_life_ non_life'!B38</f>
        <v>183877.56963900002</v>
      </c>
      <c r="C6" s="29">
        <f>+BS_Non_Life!B52</f>
        <v>20015.237063</v>
      </c>
      <c r="D6" s="110">
        <f t="shared" ref="D6:D11" si="0">+B6+C6</f>
        <v>203892.80670200003</v>
      </c>
      <c r="E6" s="110"/>
    </row>
    <row r="7" spans="1:5" ht="12" customHeight="1" x14ac:dyDescent="0.2">
      <c r="A7" s="28" t="s">
        <v>24</v>
      </c>
      <c r="B7" s="29">
        <f>+'year_book_2018_life_ non_life'!C38</f>
        <v>90108.028560999985</v>
      </c>
      <c r="C7" s="29">
        <f>+BS_Non_Life!C52</f>
        <v>32757.227008999998</v>
      </c>
      <c r="D7" s="110">
        <f t="shared" si="0"/>
        <v>122865.25556999998</v>
      </c>
      <c r="E7" s="110"/>
    </row>
    <row r="8" spans="1:5" ht="12" customHeight="1" x14ac:dyDescent="0.2">
      <c r="A8" s="28" t="s">
        <v>25</v>
      </c>
      <c r="B8" s="29">
        <f>+'year_book_2018_life_ non_life'!D38</f>
        <v>20254.054841000005</v>
      </c>
      <c r="C8" s="29">
        <f>+BS_Non_Life!D52</f>
        <v>6081.7513380000019</v>
      </c>
      <c r="D8" s="110">
        <f t="shared" si="0"/>
        <v>26335.806179000007</v>
      </c>
      <c r="E8" s="110"/>
    </row>
    <row r="9" spans="1:5" ht="12" customHeight="1" x14ac:dyDescent="0.2">
      <c r="A9" s="28" t="s">
        <v>26</v>
      </c>
      <c r="B9" s="29">
        <f>+'year_book_2018_life_ non_life'!E38</f>
        <v>4429.784388</v>
      </c>
      <c r="C9" s="29">
        <f>+BS_Non_Life!E52</f>
        <v>8302.0634099999988</v>
      </c>
      <c r="D9" s="110">
        <f t="shared" si="0"/>
        <v>12731.847797999999</v>
      </c>
      <c r="E9" s="110"/>
    </row>
    <row r="10" spans="1:5" ht="12" customHeight="1" x14ac:dyDescent="0.2">
      <c r="A10" s="28" t="s">
        <v>27</v>
      </c>
      <c r="B10" s="29">
        <f>+'year_book_2018_life_ non_life'!F38</f>
        <v>57822.494214000006</v>
      </c>
      <c r="C10" s="29">
        <f>+BS_Non_Life!F52</f>
        <v>31117.204560999995</v>
      </c>
      <c r="D10" s="110">
        <f t="shared" si="0"/>
        <v>88939.698774999997</v>
      </c>
      <c r="E10" s="110"/>
    </row>
    <row r="11" spans="1:5" ht="12" customHeight="1" x14ac:dyDescent="0.2">
      <c r="A11" s="28" t="s">
        <v>28</v>
      </c>
      <c r="B11" s="29">
        <f>+'year_book_2018_life_ non_life'!G38</f>
        <v>28378.459111000004</v>
      </c>
      <c r="C11" s="29">
        <f>+BS_Non_Life!G52</f>
        <v>14787.236919000001</v>
      </c>
      <c r="D11" s="110">
        <f t="shared" si="0"/>
        <v>43165.696030000006</v>
      </c>
      <c r="E11" s="110"/>
    </row>
    <row r="12" spans="1:5" ht="12" customHeight="1" x14ac:dyDescent="0.2">
      <c r="A12" s="30" t="s">
        <v>19</v>
      </c>
      <c r="B12" s="31">
        <f>SUM(B6:B11)</f>
        <v>384870.39075400005</v>
      </c>
      <c r="C12" s="31">
        <f>SUM(C6:C11)</f>
        <v>113060.7203</v>
      </c>
      <c r="D12" s="111">
        <f>SUM(D6:E11)</f>
        <v>497931.11105399998</v>
      </c>
      <c r="E12" s="111"/>
    </row>
    <row r="13" spans="1:5" ht="12" customHeight="1" x14ac:dyDescent="0.2">
      <c r="A13" s="32"/>
      <c r="B13" s="33"/>
      <c r="C13" s="33"/>
      <c r="D13" s="110"/>
      <c r="E13" s="110"/>
    </row>
    <row r="14" spans="1:5" ht="12" customHeight="1" x14ac:dyDescent="0.2">
      <c r="A14" s="27" t="s">
        <v>29</v>
      </c>
      <c r="B14" s="33"/>
      <c r="C14" s="33"/>
      <c r="D14" s="110"/>
      <c r="E14" s="110"/>
    </row>
    <row r="15" spans="1:5" ht="12" customHeight="1" x14ac:dyDescent="0.2">
      <c r="A15" s="28" t="s">
        <v>30</v>
      </c>
      <c r="B15" s="29">
        <f>+'year_book_2018_life_ non_life'!I38</f>
        <v>10393.042551</v>
      </c>
      <c r="C15" s="29">
        <f>+BS_Non_Life!I52</f>
        <v>18993.509683000004</v>
      </c>
      <c r="D15" s="110">
        <f>+B15+C15</f>
        <v>29386.552234000002</v>
      </c>
      <c r="E15" s="110"/>
    </row>
    <row r="16" spans="1:5" ht="12" customHeight="1" x14ac:dyDescent="0.2">
      <c r="A16" s="28" t="s">
        <v>31</v>
      </c>
      <c r="B16" s="29">
        <f>+'year_book_2018_life_ non_life'!J38</f>
        <v>324210.95255800005</v>
      </c>
      <c r="C16" s="29">
        <f>+BS_Non_Life!L52</f>
        <v>10086.799218</v>
      </c>
      <c r="D16" s="110">
        <f>+B16+C16</f>
        <v>334297.75177600002</v>
      </c>
      <c r="E16" s="110"/>
    </row>
    <row r="17" spans="1:5" ht="12" customHeight="1" x14ac:dyDescent="0.2">
      <c r="A17" s="28" t="s">
        <v>32</v>
      </c>
      <c r="B17" s="34">
        <f>+'year_book_2018_life_ non_life'!K38</f>
        <v>2117.2394360000003</v>
      </c>
      <c r="C17" s="29">
        <f>+BS_Non_Life!K52</f>
        <v>45607.129539999994</v>
      </c>
      <c r="D17" s="110">
        <f>+B17+C17</f>
        <v>47724.368975999998</v>
      </c>
      <c r="E17" s="110"/>
    </row>
    <row r="18" spans="1:5" ht="12" customHeight="1" x14ac:dyDescent="0.2">
      <c r="A18" s="28" t="s">
        <v>33</v>
      </c>
      <c r="B18" s="29">
        <f>+'year_book_2018_life_ non_life'!L38</f>
        <v>48149.156203999999</v>
      </c>
      <c r="C18" s="29">
        <f>+BS_Non_Life!M52</f>
        <v>36364.956954000001</v>
      </c>
      <c r="D18" s="110">
        <f>+B18+C18</f>
        <v>84514.113157999993</v>
      </c>
      <c r="E18" s="110"/>
    </row>
    <row r="19" spans="1:5" ht="12" customHeight="1" x14ac:dyDescent="0.2">
      <c r="A19" s="30" t="s">
        <v>19</v>
      </c>
      <c r="B19" s="31">
        <f>SUM(B15:B18)</f>
        <v>384870.39074900007</v>
      </c>
      <c r="C19" s="31">
        <f>SUM(C15:C18)</f>
        <v>111052.395395</v>
      </c>
      <c r="D19" s="111">
        <f>SUM(D15:E18)</f>
        <v>495922.78614400001</v>
      </c>
      <c r="E19" s="111"/>
    </row>
    <row r="20" spans="1:5" ht="12" customHeight="1" x14ac:dyDescent="0.2">
      <c r="A20" s="15"/>
      <c r="B20" s="15"/>
      <c r="C20" s="15"/>
      <c r="D20" s="15"/>
      <c r="E20" s="15"/>
    </row>
    <row r="21" spans="1:5" ht="12" customHeight="1" x14ac:dyDescent="0.2">
      <c r="A21" s="20" t="s">
        <v>34</v>
      </c>
      <c r="B21" s="14"/>
      <c r="C21" s="14"/>
      <c r="D21" s="14"/>
      <c r="E21" s="14"/>
    </row>
    <row r="22" spans="1:5" ht="12" customHeight="1" x14ac:dyDescent="0.2">
      <c r="A22" s="20" t="s">
        <v>35</v>
      </c>
      <c r="B22" s="14"/>
      <c r="C22" s="14"/>
      <c r="D22" s="14"/>
      <c r="E22" s="14"/>
    </row>
    <row r="23" spans="1:5" ht="12" customHeight="1" x14ac:dyDescent="0.2">
      <c r="A23" s="20" t="s">
        <v>215</v>
      </c>
      <c r="B23" s="21"/>
      <c r="C23" s="21"/>
      <c r="D23" s="14"/>
      <c r="E23" s="14"/>
    </row>
    <row r="24" spans="1:5" ht="12" customHeight="1" x14ac:dyDescent="0.2">
      <c r="A24" s="15"/>
      <c r="B24" s="15"/>
      <c r="C24" s="15"/>
      <c r="D24" s="109" t="s">
        <v>0</v>
      </c>
      <c r="E24" s="109"/>
    </row>
    <row r="25" spans="1:5" ht="12" customHeight="1" x14ac:dyDescent="0.2">
      <c r="A25" s="118" t="s">
        <v>1</v>
      </c>
      <c r="B25" s="118"/>
      <c r="C25" s="19">
        <v>2018</v>
      </c>
      <c r="D25" s="22">
        <v>2017</v>
      </c>
      <c r="E25" s="23" t="s">
        <v>20</v>
      </c>
    </row>
    <row r="26" spans="1:5" ht="12" customHeight="1" x14ac:dyDescent="0.2">
      <c r="A26" s="114" t="s">
        <v>30</v>
      </c>
      <c r="B26" s="115"/>
      <c r="C26" s="115"/>
      <c r="D26" s="115"/>
      <c r="E26" s="116"/>
    </row>
    <row r="27" spans="1:5" ht="12" customHeight="1" x14ac:dyDescent="0.2">
      <c r="A27" s="113" t="s">
        <v>39</v>
      </c>
      <c r="B27" s="113"/>
      <c r="C27" s="35">
        <f>+'year_book_2018_life_ non_life'!I38</f>
        <v>10393.042551</v>
      </c>
      <c r="D27" s="16">
        <v>9504.7601459999987</v>
      </c>
      <c r="E27" s="17">
        <f>ROUND((C27-D27)*100/D27,0)</f>
        <v>9</v>
      </c>
    </row>
    <row r="28" spans="1:5" ht="12" customHeight="1" x14ac:dyDescent="0.2">
      <c r="A28" s="113" t="s">
        <v>36</v>
      </c>
      <c r="B28" s="113"/>
      <c r="C28" s="35">
        <f>+'year_book_2018_life_ non_life'!J38</f>
        <v>324210.95255800005</v>
      </c>
      <c r="D28" s="16">
        <v>309507.87863500009</v>
      </c>
      <c r="E28" s="17">
        <f>ROUND((C28-D28)*100/D28,0)</f>
        <v>5</v>
      </c>
    </row>
    <row r="29" spans="1:5" ht="12" customHeight="1" x14ac:dyDescent="0.2">
      <c r="A29" s="113" t="s">
        <v>32</v>
      </c>
      <c r="B29" s="113"/>
      <c r="C29" s="35">
        <f>+'year_book_2018_life_ non_life'!K38</f>
        <v>2117.2394360000003</v>
      </c>
      <c r="D29" s="16">
        <v>2451.5452370000003</v>
      </c>
      <c r="E29" s="17">
        <f>ROUND((C29-D29)*100/D29,0)</f>
        <v>-14</v>
      </c>
    </row>
    <row r="30" spans="1:5" ht="12" customHeight="1" x14ac:dyDescent="0.2">
      <c r="A30" s="113" t="s">
        <v>37</v>
      </c>
      <c r="B30" s="113"/>
      <c r="C30" s="35">
        <f>+'year_book_2018_life_ non_life'!L38</f>
        <v>48149.156203999999</v>
      </c>
      <c r="D30" s="16">
        <v>45364.045184000002</v>
      </c>
      <c r="E30" s="17">
        <f>ROUND((C30-D30)*100/D30,0)</f>
        <v>6</v>
      </c>
    </row>
    <row r="31" spans="1:5" ht="12" customHeight="1" x14ac:dyDescent="0.2">
      <c r="A31" s="117" t="s">
        <v>38</v>
      </c>
      <c r="B31" s="117"/>
      <c r="C31" s="36">
        <f>SUM(C27:C30)</f>
        <v>384870.39074900007</v>
      </c>
      <c r="D31" s="36">
        <f>SUM(D27:D30)</f>
        <v>366828.22920200008</v>
      </c>
      <c r="E31" s="17">
        <f>ROUND((C31-D31)*100/D31,0)</f>
        <v>5</v>
      </c>
    </row>
    <row r="32" spans="1:5" ht="12" customHeight="1" x14ac:dyDescent="0.2">
      <c r="A32" s="119"/>
      <c r="B32" s="120"/>
      <c r="C32" s="120"/>
      <c r="D32" s="120"/>
      <c r="E32" s="121"/>
    </row>
    <row r="33" spans="1:5" ht="12" customHeight="1" x14ac:dyDescent="0.2">
      <c r="A33" s="114" t="s">
        <v>40</v>
      </c>
      <c r="B33" s="115"/>
      <c r="C33" s="115"/>
      <c r="D33" s="115"/>
      <c r="E33" s="116"/>
    </row>
    <row r="34" spans="1:5" ht="12" customHeight="1" x14ac:dyDescent="0.2">
      <c r="A34" s="113" t="s">
        <v>23</v>
      </c>
      <c r="B34" s="113"/>
      <c r="C34" s="35">
        <f>+'year_book_2018_life_ non_life'!B38</f>
        <v>183877.56963900002</v>
      </c>
      <c r="D34" s="35">
        <v>182854.393989</v>
      </c>
      <c r="E34" s="17">
        <f t="shared" ref="E34:E40" si="1">ROUND((C34-D34)*100/D34,0)</f>
        <v>1</v>
      </c>
    </row>
    <row r="35" spans="1:5" ht="12" customHeight="1" x14ac:dyDescent="0.2">
      <c r="A35" s="113" t="s">
        <v>24</v>
      </c>
      <c r="B35" s="113"/>
      <c r="C35" s="35">
        <f>+'year_book_2018_life_ non_life'!C38</f>
        <v>90108.028560999985</v>
      </c>
      <c r="D35" s="35">
        <v>87356.640704000005</v>
      </c>
      <c r="E35" s="17">
        <f t="shared" si="1"/>
        <v>3</v>
      </c>
    </row>
    <row r="36" spans="1:5" ht="12" customHeight="1" x14ac:dyDescent="0.2">
      <c r="A36" s="113" t="s">
        <v>41</v>
      </c>
      <c r="B36" s="113"/>
      <c r="C36" s="35">
        <f>+'year_book_2018_life_ non_life'!F38</f>
        <v>57822.494214000006</v>
      </c>
      <c r="D36" s="35">
        <v>50327.899570000001</v>
      </c>
      <c r="E36" s="17">
        <f t="shared" si="1"/>
        <v>15</v>
      </c>
    </row>
    <row r="37" spans="1:5" ht="12" customHeight="1" x14ac:dyDescent="0.2">
      <c r="A37" s="113" t="s">
        <v>26</v>
      </c>
      <c r="B37" s="113"/>
      <c r="C37" s="35">
        <f>+'year_book_2018_life_ non_life'!E38</f>
        <v>4429.784388</v>
      </c>
      <c r="D37" s="35">
        <v>3213.6678370000004</v>
      </c>
      <c r="E37" s="17">
        <f t="shared" si="1"/>
        <v>38</v>
      </c>
    </row>
    <row r="38" spans="1:5" ht="12" customHeight="1" x14ac:dyDescent="0.2">
      <c r="A38" s="113" t="s">
        <v>42</v>
      </c>
      <c r="B38" s="113"/>
      <c r="C38" s="35">
        <f>+'year_book_2018_life_ non_life'!G38</f>
        <v>28378.459111000004</v>
      </c>
      <c r="D38" s="35">
        <v>24906.756937999999</v>
      </c>
      <c r="E38" s="17">
        <f t="shared" si="1"/>
        <v>14</v>
      </c>
    </row>
    <row r="39" spans="1:5" ht="12" customHeight="1" x14ac:dyDescent="0.2">
      <c r="A39" s="113" t="s">
        <v>43</v>
      </c>
      <c r="B39" s="113"/>
      <c r="C39" s="35">
        <f>+'year_book_2018_life_ non_life'!D38</f>
        <v>20254.054841000005</v>
      </c>
      <c r="D39" s="35">
        <v>18168.870159000002</v>
      </c>
      <c r="E39" s="17">
        <f t="shared" si="1"/>
        <v>11</v>
      </c>
    </row>
    <row r="40" spans="1:5" ht="12" customHeight="1" x14ac:dyDescent="0.2">
      <c r="A40" s="117" t="s">
        <v>44</v>
      </c>
      <c r="B40" s="117"/>
      <c r="C40" s="36">
        <f>SUM(C34:C39)</f>
        <v>384870.39075399999</v>
      </c>
      <c r="D40" s="36">
        <f>SUM(D34:D39)</f>
        <v>366828.22919699998</v>
      </c>
      <c r="E40" s="17">
        <f t="shared" si="1"/>
        <v>5</v>
      </c>
    </row>
    <row r="41" spans="1:5" ht="20.100000000000001" customHeight="1" x14ac:dyDescent="0.2">
      <c r="A41" s="24"/>
      <c r="B41" s="24"/>
      <c r="C41" s="13"/>
      <c r="D41" s="25"/>
      <c r="E41" s="26"/>
    </row>
    <row r="42" spans="1:5" ht="20.100000000000001" customHeight="1" x14ac:dyDescent="0.2">
      <c r="A42" s="13"/>
      <c r="B42" s="13"/>
      <c r="C42" s="13"/>
      <c r="D42" s="13"/>
      <c r="E42" s="13"/>
    </row>
    <row r="43" spans="1:5" ht="20.100000000000001" customHeight="1" x14ac:dyDescent="0.2"/>
  </sheetData>
  <mergeCells count="33">
    <mergeCell ref="A27:B27"/>
    <mergeCell ref="A28:B28"/>
    <mergeCell ref="A29:B29"/>
    <mergeCell ref="A30:B30"/>
    <mergeCell ref="A31:B31"/>
    <mergeCell ref="A34:B34"/>
    <mergeCell ref="A35:B35"/>
    <mergeCell ref="A36:B36"/>
    <mergeCell ref="A37:B37"/>
    <mergeCell ref="A33:E33"/>
    <mergeCell ref="A40:B40"/>
    <mergeCell ref="A25:B25"/>
    <mergeCell ref="A38:B38"/>
    <mergeCell ref="A39:B39"/>
    <mergeCell ref="A26:E26"/>
    <mergeCell ref="A32:E32"/>
    <mergeCell ref="D19:E19"/>
    <mergeCell ref="D5:E5"/>
    <mergeCell ref="D6:E6"/>
    <mergeCell ref="D7:E7"/>
    <mergeCell ref="D8:E8"/>
    <mergeCell ref="D9:E9"/>
    <mergeCell ref="D10:E10"/>
    <mergeCell ref="D4:E4"/>
    <mergeCell ref="D11:E11"/>
    <mergeCell ref="D12:E12"/>
    <mergeCell ref="D24:E24"/>
    <mergeCell ref="D13:E13"/>
    <mergeCell ref="D14:E14"/>
    <mergeCell ref="D15:E15"/>
    <mergeCell ref="D16:E16"/>
    <mergeCell ref="D17:E17"/>
    <mergeCell ref="D18:E18"/>
  </mergeCells>
  <pageMargins left="0.36" right="0.13" top="0.41" bottom="0.19" header="0.3" footer="0.16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3" workbookViewId="0">
      <selection activeCell="A3" sqref="A3:N31"/>
    </sheetView>
  </sheetViews>
  <sheetFormatPr defaultRowHeight="10.15" customHeight="1" x14ac:dyDescent="0.2"/>
  <cols>
    <col min="1" max="1" width="18.28515625" style="77" customWidth="1"/>
    <col min="2" max="2" width="9.140625" style="77" customWidth="1"/>
    <col min="3" max="3" width="9.28515625" style="77" customWidth="1"/>
    <col min="4" max="5" width="9.7109375" style="77" customWidth="1"/>
    <col min="6" max="6" width="9.85546875" style="77" customWidth="1"/>
    <col min="7" max="8" width="10.28515625" style="77" customWidth="1"/>
    <col min="9" max="9" width="9.7109375" style="77" customWidth="1"/>
    <col min="10" max="10" width="10.28515625" style="77" customWidth="1"/>
    <col min="11" max="11" width="10.7109375" style="77" customWidth="1"/>
    <col min="12" max="13" width="10.140625" style="77" customWidth="1"/>
    <col min="14" max="14" width="7.28515625" style="77" bestFit="1" customWidth="1"/>
    <col min="15" max="16384" width="9.140625" style="77"/>
  </cols>
  <sheetData>
    <row r="1" spans="1:14" ht="13.9" customHeight="1" x14ac:dyDescent="0.2">
      <c r="A1" s="141" t="s">
        <v>167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3.9" customHeight="1" x14ac:dyDescent="0.2">
      <c r="A2" s="78"/>
      <c r="I2" s="96"/>
      <c r="J2" s="96"/>
    </row>
    <row r="3" spans="1:14" ht="18" customHeight="1" x14ac:dyDescent="0.15">
      <c r="A3" s="97" t="s">
        <v>170</v>
      </c>
      <c r="M3" s="148" t="s">
        <v>0</v>
      </c>
      <c r="N3" s="148"/>
    </row>
    <row r="4" spans="1:14" ht="18" customHeight="1" x14ac:dyDescent="0.2">
      <c r="A4" s="64" t="s">
        <v>168</v>
      </c>
      <c r="B4" s="64" t="s">
        <v>171</v>
      </c>
      <c r="C4" s="64" t="s">
        <v>172</v>
      </c>
      <c r="D4" s="64" t="s">
        <v>173</v>
      </c>
      <c r="E4" s="64" t="s">
        <v>174</v>
      </c>
      <c r="F4" s="64" t="s">
        <v>175</v>
      </c>
      <c r="G4" s="64" t="s">
        <v>176</v>
      </c>
      <c r="H4" s="64" t="s">
        <v>177</v>
      </c>
      <c r="I4" s="64" t="s">
        <v>178</v>
      </c>
      <c r="J4" s="64" t="s">
        <v>179</v>
      </c>
      <c r="K4" s="64" t="s">
        <v>180</v>
      </c>
      <c r="L4" s="64" t="s">
        <v>181</v>
      </c>
      <c r="M4" s="64" t="s">
        <v>225</v>
      </c>
      <c r="N4" s="64" t="s">
        <v>182</v>
      </c>
    </row>
    <row r="5" spans="1:14" ht="18" customHeight="1" x14ac:dyDescent="0.2">
      <c r="A5" s="98" t="s">
        <v>169</v>
      </c>
      <c r="B5" s="67">
        <v>9417.32</v>
      </c>
      <c r="C5" s="67">
        <v>11163.93</v>
      </c>
      <c r="D5" s="67">
        <v>12284.2</v>
      </c>
      <c r="E5" s="67">
        <v>14883.94</v>
      </c>
      <c r="F5" s="67">
        <v>17274.12</v>
      </c>
      <c r="G5" s="67">
        <v>19456.7</v>
      </c>
      <c r="H5" s="67">
        <v>21037.53</v>
      </c>
      <c r="I5" s="67">
        <v>22679.24</v>
      </c>
      <c r="J5" s="67">
        <v>24307.85</v>
      </c>
      <c r="K5" s="67">
        <v>25392.52</v>
      </c>
      <c r="L5" s="67">
        <v>27373.167784789999</v>
      </c>
      <c r="M5" s="67">
        <f>+Achiv_Non_Life!F50</f>
        <v>30346.940273790002</v>
      </c>
      <c r="N5" s="99">
        <f>(M5/B5)^(1/12)-1</f>
        <v>0.10242477629082813</v>
      </c>
    </row>
    <row r="6" spans="1:14" ht="18" customHeight="1" x14ac:dyDescent="0.2">
      <c r="A6" s="98" t="s">
        <v>9</v>
      </c>
      <c r="B6" s="67">
        <v>5126.75</v>
      </c>
      <c r="C6" s="67">
        <v>5900.34</v>
      </c>
      <c r="D6" s="67">
        <v>6670.67</v>
      </c>
      <c r="E6" s="67">
        <v>8222.35</v>
      </c>
      <c r="F6" s="67">
        <v>9482.11</v>
      </c>
      <c r="G6" s="67">
        <v>11128.22</v>
      </c>
      <c r="H6" s="67">
        <v>11813.53</v>
      </c>
      <c r="I6" s="67">
        <v>12570.47</v>
      </c>
      <c r="J6" s="67">
        <v>13135.38</v>
      </c>
      <c r="K6" s="67">
        <v>13589.15</v>
      </c>
      <c r="L6" s="67">
        <v>15305.178115729999</v>
      </c>
      <c r="M6" s="67">
        <f>+Achiv_Non_Life!K50</f>
        <v>16604.845175899998</v>
      </c>
      <c r="N6" s="99">
        <f t="shared" ref="N6:N11" si="0">(M6/B6)^(1/12)-1</f>
        <v>0.10289133388032901</v>
      </c>
    </row>
    <row r="7" spans="1:14" ht="18" customHeight="1" x14ac:dyDescent="0.2">
      <c r="A7" s="98" t="s">
        <v>183</v>
      </c>
      <c r="B7" s="67">
        <v>3699.09</v>
      </c>
      <c r="C7" s="67">
        <v>3739.83</v>
      </c>
      <c r="D7" s="67">
        <v>3291.3</v>
      </c>
      <c r="E7" s="67">
        <v>3037.03</v>
      </c>
      <c r="F7" s="67">
        <v>3929.44</v>
      </c>
      <c r="G7" s="67">
        <v>4320.6899999999996</v>
      </c>
      <c r="H7" s="67">
        <v>5407.82</v>
      </c>
      <c r="I7" s="67">
        <v>6424.82</v>
      </c>
      <c r="J7" s="67">
        <v>7596.52</v>
      </c>
      <c r="K7" s="67">
        <v>6284.06</v>
      </c>
      <c r="L7" s="67">
        <v>6462.5526424600002</v>
      </c>
      <c r="M7" s="67">
        <f>+Achiv_Non_Life!P50</f>
        <v>8585.2458005900007</v>
      </c>
      <c r="N7" s="99">
        <f t="shared" si="0"/>
        <v>7.2683218314781417E-2</v>
      </c>
    </row>
    <row r="8" spans="1:14" ht="18" customHeight="1" x14ac:dyDescent="0.2">
      <c r="A8" s="98" t="s">
        <v>98</v>
      </c>
      <c r="B8" s="67">
        <v>1179.77</v>
      </c>
      <c r="C8" s="67">
        <v>1354.74</v>
      </c>
      <c r="D8" s="67">
        <v>1443.4</v>
      </c>
      <c r="E8" s="67">
        <v>2477.3200000000002</v>
      </c>
      <c r="F8" s="67">
        <v>1801.85</v>
      </c>
      <c r="G8" s="67">
        <v>2068.84</v>
      </c>
      <c r="H8" s="67">
        <v>2466.91</v>
      </c>
      <c r="I8" s="67">
        <v>2804.29</v>
      </c>
      <c r="J8" s="67">
        <v>3124.12</v>
      </c>
      <c r="K8" s="67">
        <v>3268.83</v>
      </c>
      <c r="L8" s="67">
        <v>3279.0490190499991</v>
      </c>
      <c r="M8" s="67">
        <f>+Achiv_Non_Life!U50</f>
        <v>3713.5038340999995</v>
      </c>
      <c r="N8" s="99">
        <f t="shared" si="0"/>
        <v>0.10026900110282133</v>
      </c>
    </row>
    <row r="9" spans="1:14" ht="18" customHeight="1" x14ac:dyDescent="0.2">
      <c r="A9" s="98" t="s">
        <v>184</v>
      </c>
      <c r="B9" s="67">
        <v>678.91</v>
      </c>
      <c r="C9" s="67">
        <v>928.76</v>
      </c>
      <c r="D9" s="67">
        <v>1356.95</v>
      </c>
      <c r="E9" s="67">
        <v>1262.94</v>
      </c>
      <c r="F9" s="67">
        <v>1999.71</v>
      </c>
      <c r="G9" s="67">
        <v>3060.19</v>
      </c>
      <c r="H9" s="67">
        <v>3190.96</v>
      </c>
      <c r="I9" s="67">
        <v>2798.22</v>
      </c>
      <c r="J9" s="67">
        <v>2894.74</v>
      </c>
      <c r="K9" s="67">
        <v>3045.22</v>
      </c>
      <c r="L9" s="67">
        <v>3358.1101770000005</v>
      </c>
      <c r="M9" s="67">
        <f>+Achiv_Non_Life!Z50</f>
        <v>3608.5741319999997</v>
      </c>
      <c r="N9" s="99">
        <f t="shared" si="0"/>
        <v>0.14937113318250606</v>
      </c>
    </row>
    <row r="10" spans="1:14" ht="18" customHeight="1" x14ac:dyDescent="0.2">
      <c r="A10" s="98" t="s">
        <v>185</v>
      </c>
      <c r="B10" s="67">
        <v>8571.4</v>
      </c>
      <c r="C10" s="67">
        <v>11274.56</v>
      </c>
      <c r="D10" s="67">
        <v>12765.15</v>
      </c>
      <c r="E10" s="67">
        <v>17107.37</v>
      </c>
      <c r="F10" s="67">
        <v>21960.04</v>
      </c>
      <c r="G10" s="67">
        <v>25513.56</v>
      </c>
      <c r="H10" s="67">
        <v>29119.19</v>
      </c>
      <c r="I10" s="67">
        <v>30009.75</v>
      </c>
      <c r="J10" s="67">
        <v>32164.19</v>
      </c>
      <c r="K10" s="67">
        <v>34016.839999999997</v>
      </c>
      <c r="L10" s="67">
        <v>38550.041807999994</v>
      </c>
      <c r="M10" s="67">
        <f>+BS_Non_Life!B50+BS_Non_Life!C50</f>
        <v>38036.290960999999</v>
      </c>
      <c r="N10" s="99">
        <f t="shared" si="0"/>
        <v>0.13221490154802185</v>
      </c>
    </row>
    <row r="11" spans="1:14" ht="18" customHeight="1" x14ac:dyDescent="0.2">
      <c r="A11" s="98" t="s">
        <v>91</v>
      </c>
      <c r="B11" s="67">
        <v>19829.68</v>
      </c>
      <c r="C11" s="67">
        <v>22756.46</v>
      </c>
      <c r="D11" s="67">
        <v>32676.63</v>
      </c>
      <c r="E11" s="67">
        <v>33368.620000000003</v>
      </c>
      <c r="F11" s="67">
        <v>42059.77</v>
      </c>
      <c r="G11" s="67">
        <v>48347.02</v>
      </c>
      <c r="H11" s="67">
        <v>54874.9</v>
      </c>
      <c r="I11" s="67">
        <v>59365.61</v>
      </c>
      <c r="J11" s="67">
        <v>63035.95</v>
      </c>
      <c r="K11" s="67">
        <v>67846.62</v>
      </c>
      <c r="L11" s="67">
        <v>75307.571981000016</v>
      </c>
      <c r="M11" s="67">
        <f>+BS_Non_Life!H50</f>
        <v>79773.662654</v>
      </c>
      <c r="N11" s="99">
        <f t="shared" si="0"/>
        <v>0.122997145126023</v>
      </c>
    </row>
    <row r="12" spans="1:14" ht="18" customHeight="1" x14ac:dyDescent="0.2">
      <c r="A12" s="97" t="s">
        <v>186</v>
      </c>
    </row>
    <row r="13" spans="1:14" ht="18" customHeight="1" x14ac:dyDescent="0.2">
      <c r="A13" s="98" t="s">
        <v>187</v>
      </c>
      <c r="B13" s="67">
        <v>1265.82</v>
      </c>
      <c r="C13" s="67">
        <v>1418.99</v>
      </c>
      <c r="D13" s="67">
        <v>1613.51</v>
      </c>
      <c r="E13" s="67">
        <v>1659.96</v>
      </c>
      <c r="F13" s="67">
        <v>1974.71</v>
      </c>
      <c r="G13" s="67">
        <v>2189.2399999999998</v>
      </c>
      <c r="H13" s="67">
        <v>1909.61</v>
      </c>
      <c r="I13" s="67">
        <v>1761.14</v>
      </c>
      <c r="J13" s="67">
        <v>2073.1</v>
      </c>
      <c r="K13" s="67">
        <v>2234.9499999999998</v>
      </c>
      <c r="L13" s="67">
        <v>9315.3423810000004</v>
      </c>
      <c r="M13" s="67">
        <f>+Achiv_Non_Life!F51</f>
        <v>11445.294190999999</v>
      </c>
      <c r="N13" s="99">
        <f>(M13/B13)^(1/12)-1</f>
        <v>0.20140080124499682</v>
      </c>
    </row>
    <row r="14" spans="1:14" ht="18" customHeight="1" x14ac:dyDescent="0.2">
      <c r="A14" s="98" t="s">
        <v>206</v>
      </c>
      <c r="B14" s="67">
        <v>4141.07</v>
      </c>
      <c r="C14" s="67">
        <v>4331.71</v>
      </c>
      <c r="D14" s="67">
        <v>5034.7</v>
      </c>
      <c r="E14" s="67">
        <v>5819.29</v>
      </c>
      <c r="F14" s="67">
        <v>6400.74</v>
      </c>
      <c r="G14" s="67">
        <v>7347.91</v>
      </c>
      <c r="H14" s="67">
        <v>2938.5</v>
      </c>
      <c r="I14" s="67">
        <v>3981.41</v>
      </c>
      <c r="J14" s="67">
        <v>3612</v>
      </c>
      <c r="K14" s="67">
        <v>3881.21</v>
      </c>
      <c r="L14" s="67">
        <v>13967.110682</v>
      </c>
      <c r="M14" s="67">
        <f>+BS_Non_Life!B51+BS_Non_Life!C51</f>
        <v>14736.173111</v>
      </c>
      <c r="N14" s="99">
        <f>(M14/B14)^(1/12)-1</f>
        <v>0.11157647061800313</v>
      </c>
    </row>
    <row r="15" spans="1:14" ht="18" customHeight="1" x14ac:dyDescent="0.2">
      <c r="A15" s="98" t="s">
        <v>91</v>
      </c>
      <c r="B15" s="67">
        <v>7768.14</v>
      </c>
      <c r="C15" s="67">
        <v>9623.84</v>
      </c>
      <c r="D15" s="67">
        <v>9946.27</v>
      </c>
      <c r="E15" s="67">
        <v>11211.13</v>
      </c>
      <c r="F15" s="67">
        <v>13383.79</v>
      </c>
      <c r="G15" s="67">
        <v>15732.77</v>
      </c>
      <c r="H15" s="67">
        <v>18471</v>
      </c>
      <c r="I15" s="67">
        <v>21358.13</v>
      </c>
      <c r="J15" s="67">
        <v>24725.040000000001</v>
      </c>
      <c r="K15" s="67">
        <v>28147.27</v>
      </c>
      <c r="L15" s="67">
        <v>33984.456228999996</v>
      </c>
      <c r="M15" s="67">
        <f>+BS_Non_Life!H51</f>
        <v>33287.057646000001</v>
      </c>
      <c r="N15" s="99">
        <f>(M15/B15)^(1/12)-1</f>
        <v>0.12892007778277548</v>
      </c>
    </row>
    <row r="16" spans="1:14" ht="18" customHeight="1" x14ac:dyDescent="0.2">
      <c r="A16" s="97" t="s">
        <v>188</v>
      </c>
    </row>
    <row r="17" spans="1:14" ht="18" customHeight="1" x14ac:dyDescent="0.2">
      <c r="A17" s="98" t="s">
        <v>189</v>
      </c>
      <c r="B17" s="67">
        <v>9858.15</v>
      </c>
      <c r="C17" s="67">
        <v>12158.374400000001</v>
      </c>
      <c r="D17" s="67">
        <v>16471.11</v>
      </c>
      <c r="E17" s="67">
        <v>19124.400000000001</v>
      </c>
      <c r="F17" s="67">
        <v>17703.400000000001</v>
      </c>
      <c r="G17" s="67">
        <v>15282.33</v>
      </c>
      <c r="H17" s="67">
        <v>13788.48</v>
      </c>
      <c r="I17" s="67">
        <v>16345.18</v>
      </c>
      <c r="J17" s="67">
        <v>18030.45</v>
      </c>
      <c r="K17" s="67">
        <v>20648.89</v>
      </c>
      <c r="L17" s="67">
        <v>22990.91</v>
      </c>
      <c r="M17" s="67">
        <f>+Achiv_Life!B36</f>
        <v>25375.697393999992</v>
      </c>
      <c r="N17" s="99">
        <f t="shared" ref="N17:N23" si="1">(M17/B17)^(1/12)-1</f>
        <v>8.1978290894462624E-2</v>
      </c>
    </row>
    <row r="18" spans="1:14" ht="18" customHeight="1" x14ac:dyDescent="0.2">
      <c r="A18" s="98" t="s">
        <v>5</v>
      </c>
      <c r="B18" s="67">
        <v>18598.48</v>
      </c>
      <c r="C18" s="67">
        <v>23187.97</v>
      </c>
      <c r="D18" s="67">
        <v>27987.84</v>
      </c>
      <c r="E18" s="67">
        <v>33306.67</v>
      </c>
      <c r="F18" s="67">
        <v>39674.17</v>
      </c>
      <c r="G18" s="67">
        <v>45972.95</v>
      </c>
      <c r="H18" s="67">
        <v>47405.75</v>
      </c>
      <c r="I18" s="67">
        <v>48101.52</v>
      </c>
      <c r="J18" s="67">
        <v>48440.39</v>
      </c>
      <c r="K18" s="67">
        <v>48242.41</v>
      </c>
      <c r="L18" s="67">
        <v>49251.21</v>
      </c>
      <c r="M18" s="67">
        <f>+Achiv_Life!C36</f>
        <v>54284.024511999989</v>
      </c>
      <c r="N18" s="99">
        <f t="shared" si="1"/>
        <v>9.3367638488151661E-2</v>
      </c>
    </row>
    <row r="19" spans="1:14" ht="18" customHeight="1" x14ac:dyDescent="0.2">
      <c r="A19" s="98" t="s">
        <v>190</v>
      </c>
      <c r="B19" s="67">
        <v>708.47</v>
      </c>
      <c r="C19" s="67">
        <v>628.17439999999999</v>
      </c>
      <c r="D19" s="67">
        <v>1498.97</v>
      </c>
      <c r="E19" s="67">
        <v>2268.0700000000002</v>
      </c>
      <c r="F19" s="67">
        <v>2357.69</v>
      </c>
      <c r="G19" s="67">
        <v>1183.7</v>
      </c>
      <c r="H19" s="67">
        <v>1235</v>
      </c>
      <c r="I19" s="67">
        <v>2415.2199999999998</v>
      </c>
      <c r="J19" s="67">
        <v>12788.8</v>
      </c>
      <c r="K19" s="67">
        <v>2062.5500000000002</v>
      </c>
      <c r="L19" s="67">
        <v>4297.95</v>
      </c>
      <c r="M19" s="67">
        <f>+Achiv_Life!D36</f>
        <v>5098.0001940000011</v>
      </c>
      <c r="N19" s="99">
        <f t="shared" si="1"/>
        <v>0.17875405177814008</v>
      </c>
    </row>
    <row r="20" spans="1:14" ht="18" customHeight="1" x14ac:dyDescent="0.2">
      <c r="A20" s="98" t="s">
        <v>191</v>
      </c>
      <c r="B20" s="67">
        <f>SUM(B17:B19)</f>
        <v>29165.1</v>
      </c>
      <c r="C20" s="67">
        <f t="shared" ref="C20:M20" si="2">SUM(C17:C19)</f>
        <v>35974.518800000005</v>
      </c>
      <c r="D20" s="67">
        <f t="shared" si="2"/>
        <v>45957.919999999998</v>
      </c>
      <c r="E20" s="68">
        <f>SUM(E17:E19)</f>
        <v>54699.14</v>
      </c>
      <c r="F20" s="67">
        <f t="shared" si="2"/>
        <v>59735.26</v>
      </c>
      <c r="G20" s="67">
        <f t="shared" si="2"/>
        <v>62438.979999999996</v>
      </c>
      <c r="H20" s="67">
        <f t="shared" si="2"/>
        <v>62429.229999999996</v>
      </c>
      <c r="I20" s="68">
        <f>SUM(I17:I19)</f>
        <v>66861.919999999998</v>
      </c>
      <c r="J20" s="68">
        <f>SUM(J17:J19)</f>
        <v>79259.64</v>
      </c>
      <c r="K20" s="67">
        <f t="shared" si="2"/>
        <v>70953.850000000006</v>
      </c>
      <c r="L20" s="67">
        <v>76540.070000000007</v>
      </c>
      <c r="M20" s="67">
        <f t="shared" si="2"/>
        <v>84757.722099999984</v>
      </c>
      <c r="N20" s="99">
        <f t="shared" si="1"/>
        <v>9.2973545988821904E-2</v>
      </c>
    </row>
    <row r="21" spans="1:14" ht="18" customHeight="1" x14ac:dyDescent="0.2">
      <c r="A21" s="98" t="s">
        <v>110</v>
      </c>
      <c r="B21" s="67">
        <v>62623.83</v>
      </c>
      <c r="C21" s="67">
        <v>80863.149999999994</v>
      </c>
      <c r="D21" s="67">
        <v>105153.96</v>
      </c>
      <c r="E21" s="67">
        <v>134928.65</v>
      </c>
      <c r="F21" s="67">
        <v>164229.49</v>
      </c>
      <c r="G21" s="67">
        <v>195062.99</v>
      </c>
      <c r="H21" s="67">
        <v>229227.06</v>
      </c>
      <c r="I21" s="67">
        <v>251496.19</v>
      </c>
      <c r="J21" s="67">
        <v>263725.98</v>
      </c>
      <c r="K21" s="67">
        <v>274656.26</v>
      </c>
      <c r="L21" s="67">
        <v>287449.18</v>
      </c>
      <c r="M21" s="67">
        <f>+Achiv_Life!M36</f>
        <v>301433.560497</v>
      </c>
      <c r="N21" s="99">
        <f t="shared" si="1"/>
        <v>0.13991114076894129</v>
      </c>
    </row>
    <row r="22" spans="1:14" ht="18" customHeight="1" x14ac:dyDescent="0.2">
      <c r="A22" s="98" t="s">
        <v>185</v>
      </c>
      <c r="B22" s="67">
        <v>43997.75</v>
      </c>
      <c r="C22" s="67">
        <v>67151.19</v>
      </c>
      <c r="D22" s="67">
        <v>87053.53</v>
      </c>
      <c r="E22" s="67">
        <v>113140.54</v>
      </c>
      <c r="F22" s="67">
        <v>142173.06</v>
      </c>
      <c r="G22" s="67">
        <v>171859.16</v>
      </c>
      <c r="H22" s="67">
        <v>193523.02</v>
      </c>
      <c r="I22" s="67">
        <v>221060.67</v>
      </c>
      <c r="J22" s="67">
        <v>233816.78</v>
      </c>
      <c r="K22" s="67">
        <v>240310.61</v>
      </c>
      <c r="L22" s="67">
        <v>256445.28</v>
      </c>
      <c r="M22" s="67">
        <f>+'year_book_2018_life_ non_life'!B36+'year_book_2018_life_ non_life'!C36</f>
        <v>259846.80288999999</v>
      </c>
      <c r="N22" s="99">
        <f t="shared" si="1"/>
        <v>0.15950842659010434</v>
      </c>
    </row>
    <row r="23" spans="1:14" ht="18" customHeight="1" x14ac:dyDescent="0.2">
      <c r="A23" s="98" t="s">
        <v>91</v>
      </c>
      <c r="B23" s="67">
        <v>71651.399999999994</v>
      </c>
      <c r="C23" s="67">
        <v>91367.73</v>
      </c>
      <c r="D23" s="67">
        <v>118020.15</v>
      </c>
      <c r="E23" s="67">
        <v>152926.21</v>
      </c>
      <c r="F23" s="67">
        <v>189896.01</v>
      </c>
      <c r="G23" s="67">
        <v>224089.82</v>
      </c>
      <c r="H23" s="67">
        <v>259827.21</v>
      </c>
      <c r="I23" s="67">
        <v>297819.06</v>
      </c>
      <c r="J23" s="67">
        <v>311125.8</v>
      </c>
      <c r="K23" s="67">
        <v>327675.73</v>
      </c>
      <c r="L23" s="67">
        <v>346521.37</v>
      </c>
      <c r="M23" s="67">
        <f>+'year_book_2018_life_ non_life'!H36</f>
        <v>363942.26834499993</v>
      </c>
      <c r="N23" s="99">
        <f t="shared" si="1"/>
        <v>0.14503119347140969</v>
      </c>
    </row>
    <row r="24" spans="1:14" ht="18" customHeight="1" x14ac:dyDescent="0.2">
      <c r="A24" s="97" t="s">
        <v>192</v>
      </c>
    </row>
    <row r="25" spans="1:14" ht="18" customHeight="1" x14ac:dyDescent="0.2">
      <c r="A25" s="98" t="s">
        <v>189</v>
      </c>
      <c r="B25" s="67">
        <v>539.96</v>
      </c>
      <c r="C25" s="67">
        <v>768.42399999999998</v>
      </c>
      <c r="D25" s="67">
        <v>703.34</v>
      </c>
      <c r="E25" s="67">
        <v>657.62</v>
      </c>
      <c r="F25" s="67">
        <v>680.36</v>
      </c>
      <c r="G25" s="67">
        <v>643.11</v>
      </c>
      <c r="H25" s="67">
        <v>605.88</v>
      </c>
      <c r="I25" s="67">
        <v>675.32</v>
      </c>
      <c r="J25" s="67">
        <v>681.72</v>
      </c>
      <c r="K25" s="67">
        <v>775.25</v>
      </c>
      <c r="L25" s="67">
        <v>955.61</v>
      </c>
      <c r="M25" s="67">
        <f>+Achiv_Life!B37</f>
        <v>1082.752463</v>
      </c>
      <c r="N25" s="99">
        <f>(M25/B25)^(1/12)-1</f>
        <v>5.9694383757745939E-2</v>
      </c>
    </row>
    <row r="26" spans="1:14" ht="18" customHeight="1" x14ac:dyDescent="0.2">
      <c r="A26" s="98" t="s">
        <v>5</v>
      </c>
      <c r="B26" s="67">
        <v>1961.8</v>
      </c>
      <c r="C26" s="67">
        <v>2161.6239999999998</v>
      </c>
      <c r="D26" s="67">
        <v>2511.85</v>
      </c>
      <c r="E26" s="67">
        <v>2598.33</v>
      </c>
      <c r="F26" s="67">
        <v>2206.37</v>
      </c>
      <c r="G26" s="67">
        <v>2546.0300000000002</v>
      </c>
      <c r="H26" s="67">
        <v>2811.97</v>
      </c>
      <c r="I26" s="67">
        <v>2958.83</v>
      </c>
      <c r="J26" s="67">
        <v>3088.56</v>
      </c>
      <c r="K26" s="67">
        <v>2946.3</v>
      </c>
      <c r="L26" s="67">
        <v>3327.57</v>
      </c>
      <c r="M26" s="67">
        <f>+Achiv_Life!C37</f>
        <v>3603.069422</v>
      </c>
      <c r="N26" s="99">
        <f t="shared" ref="N26:N31" si="3">(M26/B26)^(1/12)-1</f>
        <v>5.1965486942755268E-2</v>
      </c>
    </row>
    <row r="27" spans="1:14" ht="18" customHeight="1" x14ac:dyDescent="0.2">
      <c r="A27" s="98" t="s">
        <v>190</v>
      </c>
      <c r="B27" s="67">
        <v>145.29</v>
      </c>
      <c r="C27" s="67">
        <v>148.11000000000001</v>
      </c>
      <c r="D27" s="67">
        <v>131.63</v>
      </c>
      <c r="E27" s="67">
        <v>203.62</v>
      </c>
      <c r="F27" s="67">
        <v>192.12</v>
      </c>
      <c r="G27" s="67">
        <v>242.88</v>
      </c>
      <c r="H27" s="67">
        <v>233.3</v>
      </c>
      <c r="I27" s="67">
        <v>265.12</v>
      </c>
      <c r="J27" s="67">
        <v>258.29000000000002</v>
      </c>
      <c r="K27" s="67">
        <v>388.04</v>
      </c>
      <c r="L27" s="67">
        <v>430.17</v>
      </c>
      <c r="M27" s="67">
        <f>+Achiv_Life!D37</f>
        <v>406.56087000000002</v>
      </c>
      <c r="N27" s="99">
        <f t="shared" si="3"/>
        <v>8.9534084592914231E-2</v>
      </c>
    </row>
    <row r="28" spans="1:14" ht="18" customHeight="1" x14ac:dyDescent="0.2">
      <c r="A28" s="98" t="s">
        <v>193</v>
      </c>
      <c r="B28" s="68">
        <f>SUM(B25:B27)</f>
        <v>2647.05</v>
      </c>
      <c r="C28" s="67">
        <f t="shared" ref="C28:K28" si="4">SUM(C25:C27)</f>
        <v>3078.1579999999999</v>
      </c>
      <c r="D28" s="67">
        <f t="shared" si="4"/>
        <v>3346.82</v>
      </c>
      <c r="E28" s="67">
        <f t="shared" si="4"/>
        <v>3459.5699999999997</v>
      </c>
      <c r="F28" s="67">
        <f t="shared" si="4"/>
        <v>3078.85</v>
      </c>
      <c r="G28" s="67">
        <f t="shared" si="4"/>
        <v>3432.0200000000004</v>
      </c>
      <c r="H28" s="67">
        <f t="shared" si="4"/>
        <v>3651.15</v>
      </c>
      <c r="I28" s="67">
        <f t="shared" si="4"/>
        <v>3899.27</v>
      </c>
      <c r="J28" s="67">
        <f t="shared" si="4"/>
        <v>4028.5699999999997</v>
      </c>
      <c r="K28" s="67">
        <f t="shared" si="4"/>
        <v>4109.59</v>
      </c>
      <c r="L28" s="67">
        <v>4713.3599999999997</v>
      </c>
      <c r="M28" s="67">
        <f>SUM(M25:M27)</f>
        <v>5092.3827550000005</v>
      </c>
      <c r="N28" s="99">
        <f t="shared" si="3"/>
        <v>5.6038879995427671E-2</v>
      </c>
    </row>
    <row r="29" spans="1:14" ht="18" customHeight="1" x14ac:dyDescent="0.2">
      <c r="A29" s="98" t="s">
        <v>110</v>
      </c>
      <c r="B29" s="67">
        <v>8883.5</v>
      </c>
      <c r="C29" s="67">
        <v>10051.07</v>
      </c>
      <c r="D29" s="67">
        <v>11197.72</v>
      </c>
      <c r="E29" s="67">
        <v>12671.29</v>
      </c>
      <c r="F29" s="67">
        <v>13151.1</v>
      </c>
      <c r="G29" s="67">
        <v>13886.77</v>
      </c>
      <c r="H29" s="67">
        <v>15031.59</v>
      </c>
      <c r="I29" s="67">
        <v>16006.46</v>
      </c>
      <c r="J29" s="67">
        <v>17223.37</v>
      </c>
      <c r="K29" s="67">
        <v>17827.23</v>
      </c>
      <c r="L29" s="67">
        <v>18522.849999999999</v>
      </c>
      <c r="M29" s="67">
        <f>+Achiv_Life!M37</f>
        <v>19251.712994000001</v>
      </c>
      <c r="N29" s="99">
        <f t="shared" si="3"/>
        <v>6.6572641151597001E-2</v>
      </c>
    </row>
    <row r="30" spans="1:14" ht="18" customHeight="1" x14ac:dyDescent="0.2">
      <c r="A30" s="98" t="s">
        <v>185</v>
      </c>
      <c r="B30" s="67">
        <v>8383.64</v>
      </c>
      <c r="C30" s="67">
        <v>7797.61</v>
      </c>
      <c r="D30" s="67">
        <v>10109.26</v>
      </c>
      <c r="E30" s="67">
        <v>10961.25</v>
      </c>
      <c r="F30" s="67">
        <v>11145.02</v>
      </c>
      <c r="G30" s="67">
        <v>12134.14</v>
      </c>
      <c r="H30" s="67">
        <v>11283.88</v>
      </c>
      <c r="I30" s="67">
        <v>11982.69</v>
      </c>
      <c r="J30" s="67">
        <v>15150.99</v>
      </c>
      <c r="K30" s="67">
        <v>7549.87</v>
      </c>
      <c r="L30" s="67">
        <v>13765.75</v>
      </c>
      <c r="M30" s="67">
        <f>+'year_book_2018_life_ non_life'!B37+'year_book_2018_life_ non_life'!C37</f>
        <v>14138.795310000001</v>
      </c>
      <c r="N30" s="99">
        <f t="shared" si="3"/>
        <v>4.4515723988892031E-2</v>
      </c>
    </row>
    <row r="31" spans="1:14" ht="18" customHeight="1" x14ac:dyDescent="0.2">
      <c r="A31" s="98" t="s">
        <v>91</v>
      </c>
      <c r="B31" s="67">
        <v>15988</v>
      </c>
      <c r="C31" s="67">
        <v>18457.61</v>
      </c>
      <c r="D31" s="67">
        <v>13051.42</v>
      </c>
      <c r="E31" s="67">
        <v>14547.06</v>
      </c>
      <c r="F31" s="67">
        <v>14398.32</v>
      </c>
      <c r="G31" s="67">
        <v>15543.98</v>
      </c>
      <c r="H31" s="67">
        <v>16671.919999999998</v>
      </c>
      <c r="I31" s="67">
        <v>17613.05</v>
      </c>
      <c r="J31" s="67">
        <v>18855.310000000001</v>
      </c>
      <c r="K31" s="67">
        <v>19610.96</v>
      </c>
      <c r="L31" s="67">
        <v>20306.86</v>
      </c>
      <c r="M31" s="67">
        <f>+'year_book_2018_life_ non_life'!H37</f>
        <v>20928.122409000003</v>
      </c>
      <c r="N31" s="99">
        <f t="shared" si="3"/>
        <v>2.2691572774045765E-2</v>
      </c>
    </row>
  </sheetData>
  <mergeCells count="2">
    <mergeCell ref="M3:N3"/>
    <mergeCell ref="A1:N1"/>
  </mergeCells>
  <pageMargins left="0.2" right="0.1" top="0.6" bottom="0.1" header="0.3" footer="0.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workbookViewId="0">
      <pane xSplit="1" ySplit="4" topLeftCell="Q8" activePane="bottomRight" state="frozen"/>
      <selection pane="topRight" activeCell="B1" sqref="B1"/>
      <selection pane="bottomLeft" activeCell="A5" sqref="A5"/>
      <selection pane="bottomRight" activeCell="AJ3" sqref="AJ3:AJ4"/>
    </sheetView>
  </sheetViews>
  <sheetFormatPr defaultRowHeight="12.75" x14ac:dyDescent="0.2"/>
  <cols>
    <col min="1" max="1" width="21.28515625" customWidth="1"/>
    <col min="2" max="3" width="9" bestFit="1" customWidth="1"/>
    <col min="5" max="5" width="9" bestFit="1" customWidth="1"/>
    <col min="7" max="9" width="8.140625" bestFit="1" customWidth="1"/>
    <col min="11" max="11" width="9" bestFit="1" customWidth="1"/>
    <col min="14" max="14" width="6.85546875" bestFit="1" customWidth="1"/>
    <col min="15" max="15" width="9" bestFit="1" customWidth="1"/>
    <col min="17" max="17" width="8.42578125" customWidth="1"/>
    <col min="18" max="18" width="8.5703125" customWidth="1"/>
    <col min="19" max="19" width="7.7109375" customWidth="1"/>
    <col min="21" max="21" width="8" customWidth="1"/>
    <col min="22" max="22" width="7.85546875" customWidth="1"/>
    <col min="23" max="23" width="8" customWidth="1"/>
    <col min="24" max="24" width="8.28515625" customWidth="1"/>
    <col min="25" max="25" width="8.5703125" customWidth="1"/>
    <col min="26" max="26" width="8" customWidth="1"/>
    <col min="27" max="27" width="7.85546875" customWidth="1"/>
    <col min="28" max="28" width="8.28515625" customWidth="1"/>
    <col min="29" max="29" width="8.42578125" customWidth="1"/>
    <col min="30" max="30" width="8" style="6" customWidth="1"/>
    <col min="31" max="31" width="10.7109375" style="8" customWidth="1"/>
    <col min="32" max="32" width="8.5703125" customWidth="1"/>
    <col min="33" max="33" width="9.5703125" customWidth="1"/>
    <col min="35" max="35" width="9.5703125" customWidth="1"/>
    <col min="36" max="36" width="10.5703125" customWidth="1"/>
  </cols>
  <sheetData>
    <row r="1" spans="1:36" ht="15.75" x14ac:dyDescent="0.2">
      <c r="A1" s="149" t="s">
        <v>235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3" spans="1:36" ht="19.899999999999999" customHeight="1" x14ac:dyDescent="0.2">
      <c r="A3" s="152" t="s">
        <v>57</v>
      </c>
      <c r="B3" s="153" t="s">
        <v>7</v>
      </c>
      <c r="C3" s="153"/>
      <c r="D3" s="153"/>
      <c r="E3" s="153"/>
      <c r="F3" s="153"/>
      <c r="G3" s="153" t="s">
        <v>9</v>
      </c>
      <c r="H3" s="153"/>
      <c r="I3" s="153"/>
      <c r="J3" s="153"/>
      <c r="K3" s="153"/>
      <c r="L3" s="153" t="s">
        <v>183</v>
      </c>
      <c r="M3" s="153"/>
      <c r="N3" s="153"/>
      <c r="O3" s="153"/>
      <c r="P3" s="153"/>
      <c r="Q3" s="153" t="s">
        <v>98</v>
      </c>
      <c r="R3" s="153"/>
      <c r="S3" s="153"/>
      <c r="T3" s="153"/>
      <c r="U3" s="153"/>
      <c r="V3" s="153" t="s">
        <v>207</v>
      </c>
      <c r="W3" s="153"/>
      <c r="X3" s="153"/>
      <c r="Y3" s="153"/>
      <c r="Z3" s="153"/>
      <c r="AA3" s="150" t="s">
        <v>208</v>
      </c>
      <c r="AB3" s="150" t="s">
        <v>198</v>
      </c>
      <c r="AC3" s="150" t="s">
        <v>199</v>
      </c>
      <c r="AD3" s="150" t="s">
        <v>200</v>
      </c>
      <c r="AE3" s="150" t="s">
        <v>209</v>
      </c>
      <c r="AF3" s="150" t="s">
        <v>201</v>
      </c>
      <c r="AG3" s="150" t="s">
        <v>23</v>
      </c>
      <c r="AH3" s="150" t="s">
        <v>202</v>
      </c>
      <c r="AI3" s="150" t="s">
        <v>203</v>
      </c>
      <c r="AJ3" s="150" t="s">
        <v>91</v>
      </c>
    </row>
    <row r="4" spans="1:36" ht="19.899999999999999" customHeight="1" x14ac:dyDescent="0.2">
      <c r="A4" s="152"/>
      <c r="B4" s="100" t="s">
        <v>194</v>
      </c>
      <c r="C4" s="100" t="s">
        <v>195</v>
      </c>
      <c r="D4" s="100" t="s">
        <v>196</v>
      </c>
      <c r="E4" s="100" t="s">
        <v>197</v>
      </c>
      <c r="F4" s="100" t="s">
        <v>97</v>
      </c>
      <c r="G4" s="100" t="s">
        <v>194</v>
      </c>
      <c r="H4" s="100" t="s">
        <v>195</v>
      </c>
      <c r="I4" s="100" t="s">
        <v>196</v>
      </c>
      <c r="J4" s="100" t="s">
        <v>197</v>
      </c>
      <c r="K4" s="100" t="s">
        <v>97</v>
      </c>
      <c r="L4" s="100" t="s">
        <v>194</v>
      </c>
      <c r="M4" s="100" t="s">
        <v>195</v>
      </c>
      <c r="N4" s="100" t="s">
        <v>196</v>
      </c>
      <c r="O4" s="100" t="s">
        <v>197</v>
      </c>
      <c r="P4" s="100" t="s">
        <v>97</v>
      </c>
      <c r="Q4" s="100" t="s">
        <v>194</v>
      </c>
      <c r="R4" s="100" t="s">
        <v>195</v>
      </c>
      <c r="S4" s="100" t="s">
        <v>196</v>
      </c>
      <c r="T4" s="100" t="s">
        <v>197</v>
      </c>
      <c r="U4" s="100" t="s">
        <v>97</v>
      </c>
      <c r="V4" s="100" t="s">
        <v>194</v>
      </c>
      <c r="W4" s="100" t="s">
        <v>195</v>
      </c>
      <c r="X4" s="100" t="s">
        <v>196</v>
      </c>
      <c r="Y4" s="100" t="s">
        <v>197</v>
      </c>
      <c r="Z4" s="100" t="s">
        <v>97</v>
      </c>
      <c r="AA4" s="151"/>
      <c r="AB4" s="151"/>
      <c r="AC4" s="151"/>
      <c r="AD4" s="151"/>
      <c r="AE4" s="151"/>
      <c r="AF4" s="151"/>
      <c r="AG4" s="151"/>
      <c r="AH4" s="151"/>
      <c r="AI4" s="151"/>
      <c r="AJ4" s="151"/>
    </row>
    <row r="5" spans="1:36" ht="10.9" customHeight="1" x14ac:dyDescent="0.2">
      <c r="A5" s="101" t="s">
        <v>116</v>
      </c>
      <c r="B5" s="102">
        <f>137171212/1000000</f>
        <v>137.171212</v>
      </c>
      <c r="C5" s="102">
        <f>132531378/1000000</f>
        <v>132.53137799999999</v>
      </c>
      <c r="D5" s="102">
        <f>67659815/1000000</f>
        <v>67.659814999999995</v>
      </c>
      <c r="E5" s="102">
        <f>45646633/1000000</f>
        <v>45.646633000000001</v>
      </c>
      <c r="F5" s="102">
        <f t="shared" ref="F5:F49" si="0">SUM(B5:E5)</f>
        <v>383.00903799999998</v>
      </c>
      <c r="G5" s="102">
        <f>55813393/1000000</f>
        <v>55.813392999999998</v>
      </c>
      <c r="H5" s="102">
        <f>84983905/1000000</f>
        <v>84.983904999999993</v>
      </c>
      <c r="I5" s="102">
        <f>56812807/1000000</f>
        <v>56.812806999999999</v>
      </c>
      <c r="J5" s="102">
        <f>1342382/1000000</f>
        <v>1.342382</v>
      </c>
      <c r="K5" s="102">
        <f t="shared" ref="K5:K49" si="1">SUM(G5:J5)</f>
        <v>198.95248699999996</v>
      </c>
      <c r="L5" s="102">
        <f>34682698/1000000</f>
        <v>34.682698000000002</v>
      </c>
      <c r="M5" s="102">
        <f>9894655/1000000</f>
        <v>9.8946550000000002</v>
      </c>
      <c r="N5" s="102">
        <f>7906125/1000000</f>
        <v>7.9061250000000003</v>
      </c>
      <c r="O5" s="102">
        <f>11930223/1000000</f>
        <v>11.930223</v>
      </c>
      <c r="P5" s="102">
        <f t="shared" ref="P5:P49" si="2">SUM(L5:O5)</f>
        <v>64.413701000000003</v>
      </c>
      <c r="Q5" s="102">
        <f>14390850/1000000</f>
        <v>14.39085</v>
      </c>
      <c r="R5" s="102">
        <f>9699105/1000000</f>
        <v>9.6991049999999994</v>
      </c>
      <c r="S5" s="102">
        <f>7906125/1000000</f>
        <v>7.9061250000000003</v>
      </c>
      <c r="T5" s="102">
        <f>4226773/1000000</f>
        <v>4.2267729999999997</v>
      </c>
      <c r="U5" s="102">
        <f t="shared" ref="U5:U49" si="3">SUM(Q5:T5)</f>
        <v>36.222853000000001</v>
      </c>
      <c r="V5" s="102">
        <f>-9555013/1000000</f>
        <v>-9.5550130000000006</v>
      </c>
      <c r="W5" s="102">
        <f>44022489/1000000</f>
        <v>44.022489</v>
      </c>
      <c r="X5" s="102">
        <f>13653321/1000000</f>
        <v>13.653321</v>
      </c>
      <c r="Y5" s="102">
        <f>2577234/1000000</f>
        <v>2.5772339999999998</v>
      </c>
      <c r="Z5" s="102">
        <f>SUM(V5:Y5)</f>
        <v>50.698030999999993</v>
      </c>
      <c r="AA5" s="102">
        <f>65063784/1000000</f>
        <v>65.063783999999998</v>
      </c>
      <c r="AB5" s="102">
        <f>14625999/1000000</f>
        <v>14.625999</v>
      </c>
      <c r="AC5" s="102">
        <f>27432823/1000000</f>
        <v>27.432822999999999</v>
      </c>
      <c r="AD5" s="102">
        <f>19895000/1000000</f>
        <v>19.895</v>
      </c>
      <c r="AE5" s="102">
        <f>14822822/1000000</f>
        <v>14.822822</v>
      </c>
      <c r="AF5" s="102">
        <f>27462860/1000000</f>
        <v>27.462859999999999</v>
      </c>
      <c r="AG5" s="102">
        <f>+BS_Non_Life!B5</f>
        <v>87.139887000000002</v>
      </c>
      <c r="AH5" s="102">
        <f>+BS_Non_Life!C5</f>
        <v>200.25</v>
      </c>
      <c r="AI5" s="102">
        <f>+(24554970+7604004)/1000000</f>
        <v>32.158974000000001</v>
      </c>
      <c r="AJ5" s="102">
        <f>+BS_Non_Life!H5</f>
        <v>806.13458100000003</v>
      </c>
    </row>
    <row r="6" spans="1:36" ht="10.9" customHeight="1" x14ac:dyDescent="0.2">
      <c r="A6" s="101" t="s">
        <v>117</v>
      </c>
      <c r="B6" s="102">
        <f>+(240623299+8851645)/1000000</f>
        <v>249.47494399999999</v>
      </c>
      <c r="C6" s="102">
        <f>+(190656726+15751307+5669700+189433)/1000000</f>
        <v>212.267166</v>
      </c>
      <c r="D6" s="102">
        <f>+(41897459+2502156)/1000000</f>
        <v>44.399614999999997</v>
      </c>
      <c r="E6" s="102">
        <f>+(71336433+39554497)/1000000</f>
        <v>110.89093</v>
      </c>
      <c r="F6" s="102">
        <f t="shared" si="0"/>
        <v>617.03265499999998</v>
      </c>
      <c r="G6" s="102">
        <f>146705314/1000000</f>
        <v>146.70531399999999</v>
      </c>
      <c r="H6" s="102">
        <f>+(169266989+602026)/1000000</f>
        <v>169.86901499999999</v>
      </c>
      <c r="I6" s="102">
        <f>42305834/1000000</f>
        <v>42.305833999999997</v>
      </c>
      <c r="J6" s="102">
        <f>63357279/1000000</f>
        <v>63.357278999999998</v>
      </c>
      <c r="K6" s="102">
        <f t="shared" si="1"/>
        <v>422.23744199999999</v>
      </c>
      <c r="L6" s="102">
        <f>+(102663730+1392160)/1000000</f>
        <v>104.05589000000001</v>
      </c>
      <c r="M6" s="102">
        <f>+(44333938+323312+173419)/1000000</f>
        <v>44.830669</v>
      </c>
      <c r="N6" s="102">
        <f>+(7796515+130347)/1000000</f>
        <v>7.9268619999999999</v>
      </c>
      <c r="O6" s="102">
        <f>+(162715+7868275)/1000000</f>
        <v>8.0309899999999992</v>
      </c>
      <c r="P6" s="102">
        <f t="shared" si="2"/>
        <v>164.84441100000001</v>
      </c>
      <c r="Q6" s="102">
        <f>64434801/1000000</f>
        <v>64.434800999999993</v>
      </c>
      <c r="R6" s="102">
        <f>+(44575397+1918808)/1000000</f>
        <v>46.494205000000001</v>
      </c>
      <c r="S6" s="102">
        <f>7277513/1000000</f>
        <v>7.2775129999999999</v>
      </c>
      <c r="T6" s="102">
        <f>-1473344/1000000</f>
        <v>-1.473344</v>
      </c>
      <c r="U6" s="102">
        <f t="shared" si="3"/>
        <v>116.73317499999999</v>
      </c>
      <c r="V6" s="102">
        <f>19743872/1000000</f>
        <v>19.743872</v>
      </c>
      <c r="W6" s="102">
        <f>+(29637893-1809930)/1000000</f>
        <v>27.827963</v>
      </c>
      <c r="X6" s="102">
        <f>19899129/1000000</f>
        <v>19.899128999999999</v>
      </c>
      <c r="Y6" s="102">
        <f>29151852/1000000</f>
        <v>29.151852000000002</v>
      </c>
      <c r="Z6" s="102">
        <f t="shared" ref="Z6:Z49" si="4">SUM(V6:Y6)</f>
        <v>96.622816</v>
      </c>
      <c r="AA6" s="102">
        <f>93787357/1000000</f>
        <v>93.787357</v>
      </c>
      <c r="AB6" s="102">
        <f>+(25352603+2057944)/1000000</f>
        <v>27.410547000000001</v>
      </c>
      <c r="AC6" s="102">
        <f>47069858/1000000</f>
        <v>47.069858000000004</v>
      </c>
      <c r="AD6" s="102">
        <f>+(25000000+1000000+2000000)/1000000</f>
        <v>28</v>
      </c>
      <c r="AE6" s="102">
        <f>47832114/1000000</f>
        <v>47.832113999999997</v>
      </c>
      <c r="AF6" s="102">
        <f>56525161/1000000</f>
        <v>56.525160999999997</v>
      </c>
      <c r="AG6" s="102">
        <f>+BS_Non_Life!B6</f>
        <v>202.90493900000001</v>
      </c>
      <c r="AH6" s="102">
        <f>+BS_Non_Life!C6</f>
        <v>687.06521299999997</v>
      </c>
      <c r="AI6" s="102">
        <f>+(53943958+723393+1362439)/1000000</f>
        <v>56.029789999999998</v>
      </c>
      <c r="AJ6" s="102">
        <f>+BS_Non_Life!H6</f>
        <v>1616.8016809999999</v>
      </c>
    </row>
    <row r="7" spans="1:36" ht="10.9" customHeight="1" x14ac:dyDescent="0.2">
      <c r="A7" s="103" t="s">
        <v>118</v>
      </c>
      <c r="B7" s="102">
        <f>148484384/1000000</f>
        <v>148.48438400000001</v>
      </c>
      <c r="C7" s="102">
        <f>+(256367213+8797175)/1000000</f>
        <v>265.16438799999997</v>
      </c>
      <c r="D7" s="102">
        <f>63704417/1000000</f>
        <v>63.704416999999999</v>
      </c>
      <c r="E7" s="102">
        <f>49084267/1000000</f>
        <v>49.084266999999997</v>
      </c>
      <c r="F7" s="102">
        <f t="shared" si="0"/>
        <v>526.437456</v>
      </c>
      <c r="G7" s="102">
        <f>57702860/1000000</f>
        <v>57.702860000000001</v>
      </c>
      <c r="H7" s="102">
        <f>+(206221373+744155)/1000000</f>
        <v>206.96552800000001</v>
      </c>
      <c r="I7" s="102">
        <f>61427726/1000000</f>
        <v>61.427726</v>
      </c>
      <c r="J7" s="102">
        <f>8338464/1000000</f>
        <v>8.3384640000000001</v>
      </c>
      <c r="K7" s="102">
        <f t="shared" si="1"/>
        <v>334.43457799999999</v>
      </c>
      <c r="L7" s="102">
        <f>127127219/1000000</f>
        <v>127.127219</v>
      </c>
      <c r="M7" s="102">
        <f>+(26862317+173419)/1000000</f>
        <v>27.035736</v>
      </c>
      <c r="N7" s="102">
        <f>11107161/1000000</f>
        <v>11.107161</v>
      </c>
      <c r="O7" s="102">
        <f>8167272/1000000</f>
        <v>8.1672720000000005</v>
      </c>
      <c r="P7" s="102">
        <f t="shared" si="2"/>
        <v>173.437388</v>
      </c>
      <c r="Q7" s="102">
        <f>73079676/1000000</f>
        <v>73.079676000000006</v>
      </c>
      <c r="R7" s="102">
        <f>+(22567375+21293)/1000000</f>
        <v>22.588667999999998</v>
      </c>
      <c r="S7" s="102">
        <f>11107161/1000000</f>
        <v>11.107161</v>
      </c>
      <c r="T7" s="102">
        <f>327862/1000000</f>
        <v>0.32786199999999999</v>
      </c>
      <c r="U7" s="102">
        <f t="shared" si="3"/>
        <v>107.10336700000001</v>
      </c>
      <c r="V7" s="102">
        <f>-47705979/1000000</f>
        <v>-47.705978999999999</v>
      </c>
      <c r="W7" s="102">
        <f>93754505/1000000</f>
        <v>93.754504999999995</v>
      </c>
      <c r="X7" s="102">
        <f>28506851/1000000</f>
        <v>28.506851000000001</v>
      </c>
      <c r="Y7" s="102">
        <v>0</v>
      </c>
      <c r="Z7" s="102">
        <f t="shared" si="4"/>
        <v>74.555376999999993</v>
      </c>
      <c r="AA7" s="102">
        <f>100164326/1000000</f>
        <v>100.164326</v>
      </c>
      <c r="AB7" s="102">
        <f>+(25300000+1960780+5583419)/1000000</f>
        <v>32.844199000000003</v>
      </c>
      <c r="AC7" s="102">
        <v>0</v>
      </c>
      <c r="AD7" s="102">
        <f>27400000/1000000</f>
        <v>27.4</v>
      </c>
      <c r="AE7" s="102">
        <f>45599965/1000000</f>
        <v>45.599964999999997</v>
      </c>
      <c r="AF7" s="102">
        <f>6679838/1000000</f>
        <v>6.6798380000000002</v>
      </c>
      <c r="AG7" s="102">
        <f>+BS_Non_Life!B7</f>
        <v>291.66053299999999</v>
      </c>
      <c r="AH7" s="102">
        <f>+BS_Non_Life!C7</f>
        <v>468.91898300000003</v>
      </c>
      <c r="AI7" s="102">
        <f>+(36918929+374738+2732794+5422892)/1000000</f>
        <v>45.449353000000002</v>
      </c>
      <c r="AJ7" s="102">
        <f>+BS_Non_Life!H7</f>
        <v>1371.395252</v>
      </c>
    </row>
    <row r="8" spans="1:36" ht="10.9" customHeight="1" x14ac:dyDescent="0.2">
      <c r="A8" s="101" t="s">
        <v>119</v>
      </c>
      <c r="B8" s="102">
        <f>+(226970359+8851645)/1000000</f>
        <v>235.82200399999999</v>
      </c>
      <c r="C8" s="102">
        <f>+(128759878+5045287+15752511+189433)/1000000</f>
        <v>149.74710899999999</v>
      </c>
      <c r="D8" s="102">
        <f>+(112937924+2502156)/1000000</f>
        <v>115.44007999999999</v>
      </c>
      <c r="E8" s="102">
        <f>+(85470479+39554497)/1000000</f>
        <v>125.024976</v>
      </c>
      <c r="F8" s="102">
        <f t="shared" si="0"/>
        <v>626.03416900000002</v>
      </c>
      <c r="G8" s="102">
        <f>+(29720947+2293122)/1000000</f>
        <v>32.014068999999999</v>
      </c>
      <c r="H8" s="102">
        <f>+(112473138+1365655+3899347+52495)/1000000</f>
        <v>117.79063499999999</v>
      </c>
      <c r="I8" s="102">
        <f>+(107413245+2313549)/1000000</f>
        <v>109.726794</v>
      </c>
      <c r="J8" s="102">
        <f>+(77224140+737774)/1000000</f>
        <v>77.961913999999993</v>
      </c>
      <c r="K8" s="102">
        <f t="shared" si="1"/>
        <v>337.49341199999998</v>
      </c>
      <c r="L8" s="102">
        <f>+(133323848+1452409)/1000000</f>
        <v>134.77625699999999</v>
      </c>
      <c r="M8" s="102">
        <f>+(12293924+374485+175213)/1000000</f>
        <v>12.843622</v>
      </c>
      <c r="N8" s="102">
        <f>+(29970979+134207)/1000000</f>
        <v>30.105186</v>
      </c>
      <c r="O8" s="102">
        <f>+(7446133+7929280)/1000000</f>
        <v>15.375413</v>
      </c>
      <c r="P8" s="102">
        <f t="shared" si="2"/>
        <v>193.10047800000001</v>
      </c>
      <c r="Q8" s="102">
        <f>+(-14083962+431127)/1000000</f>
        <v>-13.652835</v>
      </c>
      <c r="R8" s="102">
        <f>+(9232325-1564228+330484+23900)/1000000</f>
        <v>8.0224810000000009</v>
      </c>
      <c r="S8" s="102">
        <f>+(29566260+134207)/1000000</f>
        <v>29.700467</v>
      </c>
      <c r="T8" s="102">
        <f>+(6738742+225614)/1000000</f>
        <v>6.9643560000000004</v>
      </c>
      <c r="U8" s="102">
        <f t="shared" si="3"/>
        <v>31.034469000000001</v>
      </c>
      <c r="V8" s="102">
        <f>-46961881/1000000</f>
        <v>-46.961880999999998</v>
      </c>
      <c r="W8" s="102">
        <f>31229070/1000000</f>
        <v>31.22907</v>
      </c>
      <c r="X8" s="102">
        <f>18896565/1000000</f>
        <v>18.896564999999999</v>
      </c>
      <c r="Y8" s="102">
        <f>25097890/1000000</f>
        <v>25.09789</v>
      </c>
      <c r="Z8" s="102">
        <f t="shared" si="4"/>
        <v>28.261644</v>
      </c>
      <c r="AA8" s="102">
        <f>935658928/1000000</f>
        <v>935.65892799999995</v>
      </c>
      <c r="AB8" s="102">
        <f>30000000/1000000</f>
        <v>30</v>
      </c>
      <c r="AC8" s="102">
        <f>54027255/1000000</f>
        <v>54.027254999999997</v>
      </c>
      <c r="AD8" s="102">
        <f>7500000/1000000</f>
        <v>7.5</v>
      </c>
      <c r="AE8" s="102">
        <f>57524795/1000000</f>
        <v>57.524794999999997</v>
      </c>
      <c r="AF8" s="102">
        <f>55486122/1000000</f>
        <v>55.486122000000002</v>
      </c>
      <c r="AG8" s="102">
        <f>+BS_Non_Life!B8</f>
        <v>246.61308700000001</v>
      </c>
      <c r="AH8" s="102">
        <f>+BS_Non_Life!C8</f>
        <v>484.63275700000003</v>
      </c>
      <c r="AI8" s="102">
        <f>45438523/1000000</f>
        <v>45.438523000000004</v>
      </c>
      <c r="AJ8" s="102">
        <f>+BS_Non_Life!H8</f>
        <v>1665.0984779999999</v>
      </c>
    </row>
    <row r="9" spans="1:36" ht="10.9" customHeight="1" x14ac:dyDescent="0.2">
      <c r="A9" s="101" t="s">
        <v>120</v>
      </c>
      <c r="B9" s="102">
        <f>24256007.87/1000000</f>
        <v>24.256007870000001</v>
      </c>
      <c r="C9" s="102">
        <f>+(50328124.89+10898451.63)/1000000</f>
        <v>61.226576520000002</v>
      </c>
      <c r="D9" s="102">
        <f>19158770.3/1000000</f>
        <v>19.1587703</v>
      </c>
      <c r="E9" s="102">
        <f>32030009.1/1000000</f>
        <v>32.030009100000001</v>
      </c>
      <c r="F9" s="102">
        <f t="shared" si="0"/>
        <v>136.67136378999999</v>
      </c>
      <c r="G9" s="102">
        <f>14276894.98/1000000</f>
        <v>14.27689498</v>
      </c>
      <c r="H9" s="102">
        <f>+(36015898.43+324745.28)/1000000</f>
        <v>36.340643710000002</v>
      </c>
      <c r="I9" s="102">
        <f>18970163.39/1000000</f>
        <v>18.97016339</v>
      </c>
      <c r="J9" s="102">
        <f>4673298.82/1000000</f>
        <v>4.6732988200000003</v>
      </c>
      <c r="K9" s="102">
        <f t="shared" si="1"/>
        <v>74.261000899999999</v>
      </c>
      <c r="L9" s="102">
        <f>48546582.66/1000000</f>
        <v>48.546582659999999</v>
      </c>
      <c r="M9" s="102">
        <f>+(357784.92+488871.09)/1000000</f>
        <v>0.84665601000000001</v>
      </c>
      <c r="N9" s="102">
        <f>389196.48/1000000</f>
        <v>0.38919647999999996</v>
      </c>
      <c r="O9" s="102">
        <f>28032.44/1000000</f>
        <v>2.8032439999999999E-2</v>
      </c>
      <c r="P9" s="102">
        <f t="shared" si="2"/>
        <v>49.810467589999995</v>
      </c>
      <c r="Q9" s="102">
        <f>-7723429.91/1000000</f>
        <v>-7.7234299100000001</v>
      </c>
      <c r="R9" s="102">
        <f>+(349999.75+225189.38)/1000000</f>
        <v>0.57518913000000005</v>
      </c>
      <c r="S9" s="102">
        <f>389196.48/1000000</f>
        <v>0.38919647999999996</v>
      </c>
      <c r="T9" s="102">
        <f>23665.4/1000000</f>
        <v>2.3665400000000003E-2</v>
      </c>
      <c r="U9" s="102">
        <f t="shared" si="3"/>
        <v>-6.7353789000000006</v>
      </c>
      <c r="V9" s="102">
        <f>323614/1000000</f>
        <v>0.32361400000000001</v>
      </c>
      <c r="W9" s="102">
        <f>+(11324081)/1000000</f>
        <v>11.324081</v>
      </c>
      <c r="X9" s="102">
        <f>-3291325/1000000</f>
        <v>-3.2913250000000001</v>
      </c>
      <c r="Y9" s="102">
        <f>1579507/1000000</f>
        <v>1.579507</v>
      </c>
      <c r="Z9" s="102">
        <f t="shared" si="4"/>
        <v>9.9358769999999978</v>
      </c>
      <c r="AA9" s="102">
        <f>7000172/1000000</f>
        <v>7.0001720000000001</v>
      </c>
      <c r="AB9" s="102">
        <v>0</v>
      </c>
      <c r="AC9" s="102">
        <v>0</v>
      </c>
      <c r="AD9" s="102">
        <f>7000000/1000000</f>
        <v>7</v>
      </c>
      <c r="AE9" s="102">
        <v>0</v>
      </c>
      <c r="AF9" s="102">
        <f>82879503/1000000</f>
        <v>82.879503</v>
      </c>
      <c r="AG9" s="102">
        <f>+BS_Non_Life!B9</f>
        <v>3.5110000000000001</v>
      </c>
      <c r="AH9" s="102">
        <f>+BS_Non_Life!C9</f>
        <v>18.188558</v>
      </c>
      <c r="AI9" s="102">
        <f>1744730/1000000</f>
        <v>1.7447299999999999</v>
      </c>
      <c r="AJ9" s="102">
        <f>+BS_Non_Life!H9</f>
        <v>260.24586099999999</v>
      </c>
    </row>
    <row r="10" spans="1:36" ht="10.9" customHeight="1" x14ac:dyDescent="0.2">
      <c r="A10" s="101" t="s">
        <v>121</v>
      </c>
      <c r="B10" s="102">
        <f>195023124/1000000</f>
        <v>195.023124</v>
      </c>
      <c r="C10" s="102">
        <f>+(129813514+1995183)/1000000</f>
        <v>131.808697</v>
      </c>
      <c r="D10" s="102">
        <f>85629601/1000000</f>
        <v>85.629600999999994</v>
      </c>
      <c r="E10" s="102">
        <f>89446622/1000000</f>
        <v>89.446622000000005</v>
      </c>
      <c r="F10" s="102">
        <f t="shared" si="0"/>
        <v>501.90804399999996</v>
      </c>
      <c r="G10" s="102">
        <f>135119024/1000000</f>
        <v>135.119024</v>
      </c>
      <c r="H10" s="102">
        <f>+(103918126+1845699)/1000000</f>
        <v>105.763825</v>
      </c>
      <c r="I10" s="102">
        <f>82633522/1000000</f>
        <v>82.633521999999999</v>
      </c>
      <c r="J10" s="102">
        <f>48507272/1000000</f>
        <v>48.507272</v>
      </c>
      <c r="K10" s="102">
        <f>SUM(G10:J10)</f>
        <v>372.02364299999999</v>
      </c>
      <c r="L10" s="102">
        <f>57592312/1000000</f>
        <v>57.592312</v>
      </c>
      <c r="M10" s="102">
        <f>+(47887938+173419)/1000000</f>
        <v>48.061357000000001</v>
      </c>
      <c r="N10" s="102">
        <f>53684912/1000000</f>
        <v>53.684911999999997</v>
      </c>
      <c r="O10" s="102">
        <f>33733225/1000000</f>
        <v>33.733224999999997</v>
      </c>
      <c r="P10" s="102">
        <f t="shared" si="2"/>
        <v>193.07180600000001</v>
      </c>
      <c r="Q10" s="102">
        <f>50075634/1000000</f>
        <v>50.075634000000001</v>
      </c>
      <c r="R10" s="102">
        <f>+(42542862+22108)/1000000</f>
        <v>42.564970000000002</v>
      </c>
      <c r="S10" s="102">
        <f>53684912/1000000</f>
        <v>53.684911999999997</v>
      </c>
      <c r="T10" s="102">
        <f>26034774/1000000</f>
        <v>26.034773999999999</v>
      </c>
      <c r="U10" s="102">
        <f t="shared" si="3"/>
        <v>172.36028999999999</v>
      </c>
      <c r="V10" s="102">
        <f>10507279/1000000</f>
        <v>10.507279</v>
      </c>
      <c r="W10" s="102">
        <f>+(31085799+888142)/1000000</f>
        <v>31.973941</v>
      </c>
      <c r="X10" s="102">
        <f>6957863/1000000</f>
        <v>6.9578629999999997</v>
      </c>
      <c r="Y10" s="102">
        <f>13490102/1000000</f>
        <v>13.490102</v>
      </c>
      <c r="Z10" s="102">
        <f t="shared" si="4"/>
        <v>62.929184999999997</v>
      </c>
      <c r="AA10" s="102">
        <f>115896311/1000000</f>
        <v>115.896311</v>
      </c>
      <c r="AB10" s="102">
        <f>29290107/1000000</f>
        <v>29.290106999999999</v>
      </c>
      <c r="AC10" s="102">
        <f>44250000/1000000</f>
        <v>44.25</v>
      </c>
      <c r="AD10" s="102">
        <f>37202364/1000000</f>
        <v>37.202364000000003</v>
      </c>
      <c r="AE10" s="102">
        <f>85951583/1000000</f>
        <v>85.951582999999999</v>
      </c>
      <c r="AF10" s="102">
        <f>80323632/1000000</f>
        <v>80.323632000000003</v>
      </c>
      <c r="AG10" s="102">
        <f>+BS_Non_Life!B10</f>
        <v>79.090621999999996</v>
      </c>
      <c r="AH10" s="102">
        <f>+BS_Non_Life!C10</f>
        <v>747.31224499999996</v>
      </c>
      <c r="AI10" s="102">
        <f>+(63882350+1449084+2522713+2921850+3825698)/1000000</f>
        <v>74.601695000000007</v>
      </c>
      <c r="AJ10" s="102">
        <f>+BS_Non_Life!H10</f>
        <v>1326.379183</v>
      </c>
    </row>
    <row r="11" spans="1:36" ht="10.9" customHeight="1" x14ac:dyDescent="0.2">
      <c r="A11" s="101" t="s">
        <v>122</v>
      </c>
      <c r="B11" s="102">
        <f>+(143656194+7305435)/1000000</f>
        <v>150.96162899999999</v>
      </c>
      <c r="C11" s="102">
        <f>+(105736126+16631058+2895000+173125)/1000000</f>
        <v>125.435309</v>
      </c>
      <c r="D11" s="102">
        <f>+(37831739+2483670)/1000000</f>
        <v>40.315409000000002</v>
      </c>
      <c r="E11" s="102">
        <f>+(11287862+22824987)/1000000</f>
        <v>34.112848999999997</v>
      </c>
      <c r="F11" s="102">
        <f t="shared" si="0"/>
        <v>350.82519599999995</v>
      </c>
      <c r="G11" s="102">
        <f>101597378/1000000</f>
        <v>101.59737800000001</v>
      </c>
      <c r="H11" s="102">
        <f>+(90920525+1697800)/1000000</f>
        <v>92.618324999999999</v>
      </c>
      <c r="I11" s="102">
        <f>39364601/1000000</f>
        <v>39.364601</v>
      </c>
      <c r="J11" s="102">
        <f>9818403/1000000</f>
        <v>9.818403</v>
      </c>
      <c r="K11" s="102">
        <f t="shared" si="1"/>
        <v>243.398707</v>
      </c>
      <c r="L11" s="102">
        <f>25120873/1000000</f>
        <v>25.120873</v>
      </c>
      <c r="M11" s="102">
        <f>+(10784987+599997)/1000000</f>
        <v>11.384983999999999</v>
      </c>
      <c r="N11" s="102">
        <f>4439704/1000000</f>
        <v>4.4397039999999999</v>
      </c>
      <c r="O11" s="102">
        <f>18498183/1000000</f>
        <v>18.498183000000001</v>
      </c>
      <c r="P11" s="102">
        <f t="shared" si="2"/>
        <v>59.443743999999995</v>
      </c>
      <c r="Q11" s="102">
        <f>24200690/1000000</f>
        <v>24.200690000000002</v>
      </c>
      <c r="R11" s="102">
        <f>+(9376416+448687)/1000000</f>
        <v>9.8251030000000004</v>
      </c>
      <c r="S11" s="102">
        <f>4439704/1000000</f>
        <v>4.4397039999999999</v>
      </c>
      <c r="T11" s="102">
        <f>201871/1000000</f>
        <v>0.20187099999999999</v>
      </c>
      <c r="U11" s="102">
        <f t="shared" si="3"/>
        <v>38.667367999999996</v>
      </c>
      <c r="V11" s="102">
        <f>7145228/1000000</f>
        <v>7.1452280000000004</v>
      </c>
      <c r="W11" s="102">
        <f>31789519/1000000</f>
        <v>31.789518999999999</v>
      </c>
      <c r="X11" s="102">
        <f>9387014/1000000</f>
        <v>9.3870140000000006</v>
      </c>
      <c r="Y11" s="102">
        <f>4091909/1000000</f>
        <v>4.0919090000000002</v>
      </c>
      <c r="Z11" s="102">
        <f>SUM(V11:Y11)</f>
        <v>52.413670000000003</v>
      </c>
      <c r="AA11" s="102">
        <f>111979962/1000000</f>
        <v>111.979962</v>
      </c>
      <c r="AB11" s="102">
        <f>28940906/1000000</f>
        <v>28.940905999999998</v>
      </c>
      <c r="AC11" s="102">
        <f>53809029/1000000</f>
        <v>53.809029000000002</v>
      </c>
      <c r="AD11" s="102">
        <f>24320133/1000000</f>
        <v>24.320132999999998</v>
      </c>
      <c r="AE11" s="102">
        <f>57613002/1000000</f>
        <v>57.613002000000002</v>
      </c>
      <c r="AF11" s="102">
        <f>54203108/1000000</f>
        <v>54.203108</v>
      </c>
      <c r="AG11" s="102">
        <f>+BS_Non_Life!B11</f>
        <v>224.48183299999999</v>
      </c>
      <c r="AH11" s="102">
        <f>+BS_Non_Life!C11</f>
        <v>526.45001000000002</v>
      </c>
      <c r="AI11" s="102">
        <f>+(32776573+24470791+3896665+7031432+694381)/1000000</f>
        <v>68.869842000000006</v>
      </c>
      <c r="AJ11" s="102">
        <f>+BS_Non_Life!H11</f>
        <v>1702.4959480000002</v>
      </c>
    </row>
    <row r="12" spans="1:36" ht="10.9" customHeight="1" x14ac:dyDescent="0.2">
      <c r="A12" s="101" t="s">
        <v>123</v>
      </c>
      <c r="B12" s="102">
        <f>160145651/1000000</f>
        <v>160.14565099999999</v>
      </c>
      <c r="C12" s="102">
        <f>+(189969361+1239433)/1000000</f>
        <v>191.20879400000001</v>
      </c>
      <c r="D12" s="102">
        <f>36268506/1000000</f>
        <v>36.268506000000002</v>
      </c>
      <c r="E12" s="102">
        <f>48629849/1000000</f>
        <v>48.629849</v>
      </c>
      <c r="F12" s="102">
        <f>SUM(B12:E12)</f>
        <v>436.25279999999998</v>
      </c>
      <c r="G12" s="102">
        <f>102915600/1000000</f>
        <v>102.9156</v>
      </c>
      <c r="H12" s="102">
        <f>+(153160606+171197)/1000000</f>
        <v>153.33180300000001</v>
      </c>
      <c r="I12" s="102">
        <f>34032930/1000000</f>
        <v>34.03293</v>
      </c>
      <c r="J12" s="102">
        <f>5348297/1000000</f>
        <v>5.3482969999999996</v>
      </c>
      <c r="K12" s="102">
        <f t="shared" si="1"/>
        <v>295.62863000000004</v>
      </c>
      <c r="L12" s="102">
        <f>50276890/1000000</f>
        <v>50.276890000000002</v>
      </c>
      <c r="M12" s="102">
        <f>+(30647029+213419)/1000000</f>
        <v>30.860448000000002</v>
      </c>
      <c r="N12" s="102">
        <f>2260638/1000000</f>
        <v>2.2606380000000001</v>
      </c>
      <c r="O12" s="102">
        <f>7868275/1000000</f>
        <v>7.8682749999999997</v>
      </c>
      <c r="P12" s="102">
        <f>SUM(L12:O12)</f>
        <v>91.266250999999997</v>
      </c>
      <c r="Q12" s="102">
        <f>49255629/1000000</f>
        <v>49.255628999999999</v>
      </c>
      <c r="R12" s="102">
        <f>+(16986612+62109)/1000000</f>
        <v>17.048721</v>
      </c>
      <c r="S12" s="102">
        <f>2260638/1000000</f>
        <v>2.2606380000000001</v>
      </c>
      <c r="T12" s="102">
        <f>164825/1000000</f>
        <v>0.164825</v>
      </c>
      <c r="U12" s="102">
        <f t="shared" si="3"/>
        <v>68.729812999999993</v>
      </c>
      <c r="V12" s="102">
        <f>3740122/1000000</f>
        <v>3.7401219999999999</v>
      </c>
      <c r="W12" s="102">
        <f>+(66320991+2186020)/1000000</f>
        <v>68.507011000000006</v>
      </c>
      <c r="X12" s="102">
        <f>15087233/1000000</f>
        <v>15.087232999999999</v>
      </c>
      <c r="Y12" s="102">
        <f>-6391719/1000000</f>
        <v>-6.3917190000000002</v>
      </c>
      <c r="Z12" s="102">
        <f t="shared" si="4"/>
        <v>80.942647000000008</v>
      </c>
      <c r="AA12" s="102">
        <f>112149718/1000000</f>
        <v>112.14971799999999</v>
      </c>
      <c r="AB12" s="102">
        <f>2500000/1000000</f>
        <v>2.5</v>
      </c>
      <c r="AC12" s="102">
        <v>0</v>
      </c>
      <c r="AD12" s="102">
        <f>1000000/1000000</f>
        <v>1</v>
      </c>
      <c r="AE12" s="102">
        <f>49011781/1000000</f>
        <v>49.011780999999999</v>
      </c>
      <c r="AF12" s="102">
        <f>68350381/1000000</f>
        <v>68.350380999999999</v>
      </c>
      <c r="AG12" s="102">
        <f>+BS_Non_Life!B12</f>
        <v>172.83987300000001</v>
      </c>
      <c r="AH12" s="102">
        <f>+BS_Non_Life!C12</f>
        <v>561.58226500000001</v>
      </c>
      <c r="AI12" s="102">
        <f>43316554/1000000</f>
        <v>43.316553999999996</v>
      </c>
      <c r="AJ12" s="102">
        <f>+BS_Non_Life!H12</f>
        <v>1314.2207699999999</v>
      </c>
    </row>
    <row r="13" spans="1:36" ht="10.9" customHeight="1" x14ac:dyDescent="0.2">
      <c r="A13" s="101" t="s">
        <v>124</v>
      </c>
      <c r="B13" s="102">
        <f>(314501584+8851645)/1000000</f>
        <v>323.353229</v>
      </c>
      <c r="C13" s="102">
        <f>(123633058+15940740)/1000000</f>
        <v>139.57379800000001</v>
      </c>
      <c r="D13" s="102">
        <f>+(84458710+2502156)/1000000</f>
        <v>86.960865999999996</v>
      </c>
      <c r="E13" s="102">
        <f>+(28318978+39654497)/1000000</f>
        <v>67.973474999999993</v>
      </c>
      <c r="F13" s="102">
        <f t="shared" si="0"/>
        <v>617.86136799999997</v>
      </c>
      <c r="G13" s="102">
        <f>156199728/1000000</f>
        <v>156.19972799999999</v>
      </c>
      <c r="H13" s="102">
        <f>77074854/1000000</f>
        <v>77.074854000000002</v>
      </c>
      <c r="I13" s="102">
        <f>79229479/1000000</f>
        <v>79.229478999999998</v>
      </c>
      <c r="J13" s="102">
        <f>9891475/1000000</f>
        <v>9.8914749999999998</v>
      </c>
      <c r="K13" s="102">
        <f t="shared" si="1"/>
        <v>322.39553599999999</v>
      </c>
      <c r="L13" s="102">
        <f>+(40669854+1392159)/1000000</f>
        <v>42.062013</v>
      </c>
      <c r="M13" s="102">
        <f>+(3423317+497024)/1000000</f>
        <v>3.9203410000000001</v>
      </c>
      <c r="N13" s="102">
        <f>+(15279810+130347)/1000000</f>
        <v>15.410157</v>
      </c>
      <c r="O13" s="102">
        <f>+(3426682+7868275)/1000000</f>
        <v>11.294957</v>
      </c>
      <c r="P13" s="102">
        <f t="shared" si="2"/>
        <v>72.687467999999996</v>
      </c>
      <c r="Q13" s="102">
        <f>23192414/1000000</f>
        <v>23.192413999999999</v>
      </c>
      <c r="R13" s="102">
        <f>797946/1000000</f>
        <v>0.79794600000000004</v>
      </c>
      <c r="S13" s="102">
        <f>15410157/1000000</f>
        <v>15.410157</v>
      </c>
      <c r="T13" s="102">
        <f>431251/1000000</f>
        <v>0.431251</v>
      </c>
      <c r="U13" s="102">
        <f t="shared" si="3"/>
        <v>39.831768000000004</v>
      </c>
      <c r="V13" s="102">
        <f>30208861/1000000</f>
        <v>30.208860999999999</v>
      </c>
      <c r="W13" s="102">
        <f>+(41461576-3321970)/1000000</f>
        <v>38.139606000000001</v>
      </c>
      <c r="X13" s="102">
        <f>22922814/1000000</f>
        <v>22.922813999999999</v>
      </c>
      <c r="Y13" s="102">
        <f>7573252/1000000</f>
        <v>7.5732520000000001</v>
      </c>
      <c r="Z13" s="102">
        <f t="shared" si="4"/>
        <v>98.844532999999998</v>
      </c>
      <c r="AA13" s="102">
        <f>87628864/1000000</f>
        <v>87.628863999999993</v>
      </c>
      <c r="AB13" s="102">
        <f>+(19366454+1408007)/1000000</f>
        <v>20.774460999999999</v>
      </c>
      <c r="AC13" s="102">
        <f>34557917/1000000</f>
        <v>34.557917000000003</v>
      </c>
      <c r="AD13" s="102">
        <f>32239554/1000000</f>
        <v>32.239553999999998</v>
      </c>
      <c r="AE13" s="102">
        <f>42592581/1000000</f>
        <v>42.592581000000003</v>
      </c>
      <c r="AF13" s="102">
        <f>42535649/1000000</f>
        <v>42.535648999999999</v>
      </c>
      <c r="AG13" s="102">
        <f>+BS_Non_Life!B13</f>
        <v>71.033958999999996</v>
      </c>
      <c r="AH13" s="102">
        <f>+BS_Non_Life!C13</f>
        <v>370.80732499999999</v>
      </c>
      <c r="AI13" s="102">
        <f>28342734/1000000</f>
        <v>28.342734</v>
      </c>
      <c r="AJ13" s="102">
        <f>+BS_Non_Life!H13</f>
        <v>1122.7110729999999</v>
      </c>
    </row>
    <row r="14" spans="1:36" ht="10.9" customHeight="1" x14ac:dyDescent="0.2">
      <c r="A14" s="101" t="s">
        <v>125</v>
      </c>
      <c r="B14" s="102">
        <f>168248829/1000000</f>
        <v>168.248829</v>
      </c>
      <c r="C14" s="102">
        <f>+(170107991+2877208)/1000000</f>
        <v>172.98519899999999</v>
      </c>
      <c r="D14" s="102">
        <f>36304098/1000000</f>
        <v>36.304098000000003</v>
      </c>
      <c r="E14" s="102">
        <f>53763039/1000000</f>
        <v>53.763038999999999</v>
      </c>
      <c r="F14" s="102">
        <f t="shared" si="0"/>
        <v>431.30116499999997</v>
      </c>
      <c r="G14" s="102">
        <f>123783684/1000000</f>
        <v>123.78368399999999</v>
      </c>
      <c r="H14" s="102">
        <f>+(127921151+1953223)/1000000</f>
        <v>129.87437399999999</v>
      </c>
      <c r="I14" s="102">
        <f>35368737/1000000</f>
        <v>35.368737000000003</v>
      </c>
      <c r="J14" s="102">
        <f>13622061/1000000</f>
        <v>13.622061</v>
      </c>
      <c r="K14" s="102">
        <f t="shared" si="1"/>
        <v>302.64885599999997</v>
      </c>
      <c r="L14" s="102">
        <f>74640992/1000000</f>
        <v>74.640991999999997</v>
      </c>
      <c r="M14" s="102">
        <f>+(18511094+473419)/1000000</f>
        <v>18.984513</v>
      </c>
      <c r="N14" s="102">
        <f>7219413/1000000</f>
        <v>7.2194130000000003</v>
      </c>
      <c r="O14" s="102">
        <f>7868276/1000000</f>
        <v>7.8682759999999998</v>
      </c>
      <c r="P14" s="102">
        <f t="shared" si="2"/>
        <v>108.713194</v>
      </c>
      <c r="Q14" s="102">
        <f>68108915/1000000</f>
        <v>68.108914999999996</v>
      </c>
      <c r="R14" s="102">
        <f>+(11746349+322109)/1000000</f>
        <v>12.068458</v>
      </c>
      <c r="S14" s="102">
        <f>7219413/1000000</f>
        <v>7.2194130000000003</v>
      </c>
      <c r="T14" s="102">
        <f>164826/1000000</f>
        <v>0.164826</v>
      </c>
      <c r="U14" s="102">
        <f t="shared" si="3"/>
        <v>87.561611999999997</v>
      </c>
      <c r="V14" s="102">
        <f>-8048702/1000000</f>
        <v>-8.0487020000000005</v>
      </c>
      <c r="W14" s="102">
        <f>47895618/1000000</f>
        <v>47.895617999999999</v>
      </c>
      <c r="X14" s="102">
        <f>15769106/1000000</f>
        <v>15.769106000000001</v>
      </c>
      <c r="Y14" s="102">
        <f>9384827/1000000</f>
        <v>9.3848269999999996</v>
      </c>
      <c r="Z14" s="102">
        <f t="shared" si="4"/>
        <v>65.000849000000002</v>
      </c>
      <c r="AA14" s="102">
        <f>74305954/1000000</f>
        <v>74.305954</v>
      </c>
      <c r="AB14" s="102">
        <f>6319278/1000000</f>
        <v>6.3192779999999997</v>
      </c>
      <c r="AC14" s="102">
        <f>16800000/1000000</f>
        <v>16.8</v>
      </c>
      <c r="AD14" s="102">
        <f>43130117/1000000</f>
        <v>43.130116999999998</v>
      </c>
      <c r="AE14" s="102">
        <f>24550196/1000000</f>
        <v>24.550196</v>
      </c>
      <c r="AF14" s="102">
        <f>10993637/1000000</f>
        <v>10.993637</v>
      </c>
      <c r="AG14" s="102">
        <f>+BS_Non_Life!B14</f>
        <v>119.550572</v>
      </c>
      <c r="AH14" s="102">
        <f>+BS_Non_Life!C14</f>
        <v>358.6</v>
      </c>
      <c r="AI14" s="102">
        <f>+(24570974+11019060+10291500)/1000000</f>
        <v>45.881534000000002</v>
      </c>
      <c r="AJ14" s="102">
        <f>+BS_Non_Life!H14</f>
        <v>940.01752299999998</v>
      </c>
    </row>
    <row r="15" spans="1:36" ht="10.9" customHeight="1" x14ac:dyDescent="0.2">
      <c r="A15" s="101" t="s">
        <v>126</v>
      </c>
      <c r="B15" s="102">
        <f>+(100637349+8851646)/1000000</f>
        <v>109.488995</v>
      </c>
      <c r="C15" s="102">
        <f>+(128129370+21072558)/1000000</f>
        <v>149.20192800000001</v>
      </c>
      <c r="D15" s="102">
        <f>+(17210088+2502156)/1000000</f>
        <v>19.712243999999998</v>
      </c>
      <c r="E15" s="102">
        <f>+(13902704+34423881)/1000000</f>
        <v>48.326585000000001</v>
      </c>
      <c r="F15" s="102">
        <f t="shared" si="0"/>
        <v>326.72975200000002</v>
      </c>
      <c r="G15" s="102">
        <f>+(63079574+2293124)/1000000</f>
        <v>65.372698</v>
      </c>
      <c r="H15" s="102">
        <f>+(115447970+4336091)/1000000</f>
        <v>119.78406099999999</v>
      </c>
      <c r="I15" s="102">
        <f>+(13825480+2098786)/1000000</f>
        <v>15.924265999999999</v>
      </c>
      <c r="J15" s="102">
        <f>+(6582797+555738)/1000000</f>
        <v>7.1385350000000001</v>
      </c>
      <c r="K15" s="102">
        <f t="shared" si="1"/>
        <v>208.21955999999997</v>
      </c>
      <c r="L15" s="102">
        <f>+(15178937+1432336)/1000000</f>
        <v>16.611273000000001</v>
      </c>
      <c r="M15" s="102">
        <f>+(15575663+8116330)/1000000</f>
        <v>23.691993</v>
      </c>
      <c r="N15" s="102">
        <f>+(1269542+130925)/1000000</f>
        <v>1.4004669999999999</v>
      </c>
      <c r="O15" s="102">
        <f>+(140780+208216)/1000000</f>
        <v>0.34899599999999997</v>
      </c>
      <c r="P15" s="102">
        <f t="shared" si="2"/>
        <v>42.052728999999999</v>
      </c>
      <c r="Q15" s="102">
        <f>+(1623864+411075)/1000000</f>
        <v>2.0349390000000001</v>
      </c>
      <c r="R15" s="102">
        <f>+(583993+136868)/1000000</f>
        <v>0.72086099999999997</v>
      </c>
      <c r="S15" s="102">
        <f>+(1216885+215754)/1000000</f>
        <v>1.432639</v>
      </c>
      <c r="T15" s="102">
        <f>+(30258+203849)/1000000</f>
        <v>0.23410700000000001</v>
      </c>
      <c r="U15" s="102">
        <f t="shared" si="3"/>
        <v>4.4225459999999996</v>
      </c>
      <c r="V15" s="102">
        <f>22878016/1000000</f>
        <v>22.878015999999999</v>
      </c>
      <c r="W15" s="102">
        <f>53811024/1000000</f>
        <v>53.811024000000003</v>
      </c>
      <c r="X15" s="102">
        <f>6708444/1000000</f>
        <v>6.7084440000000001</v>
      </c>
      <c r="Y15" s="102">
        <f>-2040328/1000000</f>
        <v>-2.0403280000000001</v>
      </c>
      <c r="Z15" s="102">
        <f t="shared" si="4"/>
        <v>81.357156000000003</v>
      </c>
      <c r="AA15" s="102">
        <f>120978510/1000000</f>
        <v>120.97851</v>
      </c>
      <c r="AB15" s="102">
        <f>41200000/1000000</f>
        <v>41.2</v>
      </c>
      <c r="AC15" s="102">
        <f>50156250/1000000</f>
        <v>50.15625</v>
      </c>
      <c r="AD15" s="102">
        <f>20821956/1000000</f>
        <v>20.821956</v>
      </c>
      <c r="AE15" s="102">
        <f>101945395/1000000</f>
        <v>101.945395</v>
      </c>
      <c r="AF15" s="102">
        <f>93146091/1000000</f>
        <v>93.146090999999998</v>
      </c>
      <c r="AG15" s="102">
        <f>+BS_Non_Life!B15</f>
        <v>102.441554</v>
      </c>
      <c r="AH15" s="102">
        <f>+BS_Non_Life!C15</f>
        <v>608.00396000000001</v>
      </c>
      <c r="AI15" s="102">
        <f>41373526/1000000</f>
        <v>41.373525999999998</v>
      </c>
      <c r="AJ15" s="102">
        <f>+BS_Non_Life!H15</f>
        <v>1992.9476359999999</v>
      </c>
    </row>
    <row r="16" spans="1:36" ht="10.9" customHeight="1" x14ac:dyDescent="0.2">
      <c r="A16" s="101" t="s">
        <v>127</v>
      </c>
      <c r="B16" s="102">
        <f>75271980/1000000</f>
        <v>75.271979999999999</v>
      </c>
      <c r="C16" s="102">
        <f>+(56147126+421693)/1000000</f>
        <v>56.568818999999998</v>
      </c>
      <c r="D16" s="102">
        <f>27872916/1000000</f>
        <v>27.872916</v>
      </c>
      <c r="E16" s="102">
        <f>43680093/1000000</f>
        <v>43.680092999999999</v>
      </c>
      <c r="F16" s="102">
        <f t="shared" si="0"/>
        <v>203.39380800000001</v>
      </c>
      <c r="G16" s="102">
        <f>28300069/1000000</f>
        <v>28.300069000000001</v>
      </c>
      <c r="H16" s="102">
        <f>+(42952272+223208)/1000000</f>
        <v>43.17548</v>
      </c>
      <c r="I16" s="102">
        <f>27599106/1000000</f>
        <v>27.599105999999999</v>
      </c>
      <c r="J16" s="102">
        <f>3142055/1000000</f>
        <v>3.142055</v>
      </c>
      <c r="K16" s="102">
        <f t="shared" si="1"/>
        <v>102.21671000000001</v>
      </c>
      <c r="L16" s="102">
        <f>34654891/1000000</f>
        <v>34.654890999999999</v>
      </c>
      <c r="M16" s="102">
        <f>+(381726+2172)/1000000</f>
        <v>0.38389800000000002</v>
      </c>
      <c r="N16" s="102">
        <f>1431556/1000000</f>
        <v>1.4315560000000001</v>
      </c>
      <c r="O16" s="102">
        <f>1677203/1000000</f>
        <v>1.677203</v>
      </c>
      <c r="P16" s="102">
        <f t="shared" si="2"/>
        <v>38.147548</v>
      </c>
      <c r="Q16" s="102">
        <f>10258534/1000000</f>
        <v>10.258533999999999</v>
      </c>
      <c r="R16" s="102">
        <f>+(337486-149138)/1000000</f>
        <v>0.18834799999999999</v>
      </c>
      <c r="S16" s="102">
        <f>1431556/1000000</f>
        <v>1.4315560000000001</v>
      </c>
      <c r="T16" s="102">
        <f>-6026247/1000000</f>
        <v>-6.0262469999999997</v>
      </c>
      <c r="U16" s="102">
        <f t="shared" si="3"/>
        <v>5.8521909999999995</v>
      </c>
      <c r="V16" s="102">
        <f>6305094/1000000</f>
        <v>6.3050940000000004</v>
      </c>
      <c r="W16" s="102">
        <f>+(21112099+407133)/1000000</f>
        <v>21.519231999999999</v>
      </c>
      <c r="X16" s="102">
        <f>14651386/1000000</f>
        <v>14.651386</v>
      </c>
      <c r="Y16" s="102">
        <f>5831168/1000000</f>
        <v>5.8311679999999999</v>
      </c>
      <c r="Z16" s="102">
        <f t="shared" si="4"/>
        <v>48.30688</v>
      </c>
      <c r="AA16" s="102">
        <f>46760392/1000000</f>
        <v>46.760392000000003</v>
      </c>
      <c r="AB16" s="102">
        <f>+(18704157+4044363)/1000000</f>
        <v>22.748519999999999</v>
      </c>
      <c r="AC16" s="102">
        <f>24000000/1000000</f>
        <v>24</v>
      </c>
      <c r="AD16" s="102">
        <v>0</v>
      </c>
      <c r="AE16" s="102">
        <v>0</v>
      </c>
      <c r="AF16" s="102">
        <f>25564523/1000000</f>
        <v>25.564523000000001</v>
      </c>
      <c r="AG16" s="102">
        <f>+BS_Non_Life!B16</f>
        <v>25</v>
      </c>
      <c r="AH16" s="102">
        <f>+BS_Non_Life!C16</f>
        <v>220.5</v>
      </c>
      <c r="AI16" s="102">
        <f>17384929/1000000</f>
        <v>17.384929</v>
      </c>
      <c r="AJ16" s="102">
        <f>+BS_Non_Life!H16</f>
        <v>573.42203999999992</v>
      </c>
    </row>
    <row r="17" spans="1:36" ht="10.9" customHeight="1" x14ac:dyDescent="0.2">
      <c r="A17" s="101" t="s">
        <v>128</v>
      </c>
      <c r="B17" s="102">
        <f>+(191087998+8849613)/1000000</f>
        <v>199.937611</v>
      </c>
      <c r="C17" s="102">
        <f>+(119661494+9665112+15750286+189436)/1000000</f>
        <v>145.26632799999999</v>
      </c>
      <c r="D17" s="102">
        <f>+(61488757+2502186)/1000000</f>
        <v>63.990943000000001</v>
      </c>
      <c r="E17" s="102">
        <f>+(12052980+39557516)/1000000</f>
        <v>51.610495999999998</v>
      </c>
      <c r="F17" s="102">
        <f t="shared" si="0"/>
        <v>460.80537800000002</v>
      </c>
      <c r="G17" s="102">
        <f>+(73218261+2291090)/1000000</f>
        <v>75.509350999999995</v>
      </c>
      <c r="H17" s="102">
        <f>+(90396883+2372212+3897122+39952)/1000000</f>
        <v>96.706169000000003</v>
      </c>
      <c r="I17" s="102">
        <f>+(57183712+2313579)/1000000</f>
        <v>59.497290999999997</v>
      </c>
      <c r="J17" s="102">
        <f>+(2508047+740793)/1000000</f>
        <v>3.24884</v>
      </c>
      <c r="K17" s="102">
        <f t="shared" si="1"/>
        <v>234.96165099999999</v>
      </c>
      <c r="L17" s="102">
        <f>+(21328779+1452409)/1000000</f>
        <v>22.781188</v>
      </c>
      <c r="M17" s="102">
        <f>+(2134287+374485+175214)/1000000</f>
        <v>2.683986</v>
      </c>
      <c r="N17" s="102">
        <f>+(18839512+134206)/1000000</f>
        <v>18.973718000000002</v>
      </c>
      <c r="O17" s="102">
        <f>+(2222116+7929280)/1000000</f>
        <v>10.151396</v>
      </c>
      <c r="P17" s="102">
        <f t="shared" si="2"/>
        <v>54.590288000000001</v>
      </c>
      <c r="Q17" s="102">
        <f>+(18916832+431127)/1000000</f>
        <v>19.347958999999999</v>
      </c>
      <c r="R17" s="102">
        <f>+(2134287+330485+23901)/1000000</f>
        <v>2.4886729999999999</v>
      </c>
      <c r="S17" s="102">
        <f>+(18839512+134206)/1000000</f>
        <v>18.973718000000002</v>
      </c>
      <c r="T17" s="102">
        <f>+(2222116+225614)/1000000</f>
        <v>2.44773</v>
      </c>
      <c r="U17" s="102">
        <f t="shared" si="3"/>
        <v>43.25808</v>
      </c>
      <c r="V17" s="102">
        <f>16776432/1000000</f>
        <v>16.776432</v>
      </c>
      <c r="W17" s="102">
        <f>54992822/1000000</f>
        <v>54.992821999999997</v>
      </c>
      <c r="X17" s="102">
        <f>22337683/1000000</f>
        <v>22.337682999999998</v>
      </c>
      <c r="Y17" s="102">
        <f>-6374833/1000000</f>
        <v>-6.3748329999999997</v>
      </c>
      <c r="Z17" s="102">
        <f t="shared" si="4"/>
        <v>87.732103999999993</v>
      </c>
      <c r="AA17" s="102">
        <f>200346954/1000000</f>
        <v>200.34695400000001</v>
      </c>
      <c r="AB17" s="102">
        <f>47000000/1000000</f>
        <v>47</v>
      </c>
      <c r="AC17" s="102">
        <v>0</v>
      </c>
      <c r="AD17" s="102">
        <f>+(46080538+20000000)/1000000</f>
        <v>66.080538000000004</v>
      </c>
      <c r="AE17" s="102">
        <f>87810551/1000000</f>
        <v>87.810551000000004</v>
      </c>
      <c r="AF17" s="102">
        <f>556024/1000000</f>
        <v>0.55602399999999996</v>
      </c>
      <c r="AG17" s="102">
        <f>+BS_Non_Life!B17</f>
        <v>632.169757</v>
      </c>
      <c r="AH17" s="102">
        <f>+BS_Non_Life!C17</f>
        <v>1200</v>
      </c>
      <c r="AI17" s="102">
        <f>90200952/1000000</f>
        <v>90.200952000000001</v>
      </c>
      <c r="AJ17" s="102">
        <f>+BS_Non_Life!H17</f>
        <v>2295.0265930000005</v>
      </c>
    </row>
    <row r="18" spans="1:36" ht="10.9" customHeight="1" x14ac:dyDescent="0.2">
      <c r="A18" s="101" t="s">
        <v>129</v>
      </c>
      <c r="B18" s="102">
        <f>+(500375738+9419527)/1000000</f>
        <v>509.79526499999997</v>
      </c>
      <c r="C18" s="102">
        <f>+(375554604+17335090+18741448+1346355)/1000000</f>
        <v>412.97749700000003</v>
      </c>
      <c r="D18" s="102">
        <f>+(106444197+6565186)/1000000</f>
        <v>113.009383</v>
      </c>
      <c r="E18" s="102">
        <f>+(38349185+40488746)/1000000</f>
        <v>78.837930999999998</v>
      </c>
      <c r="F18" s="102">
        <f t="shared" si="0"/>
        <v>1114.6200760000002</v>
      </c>
      <c r="G18" s="102">
        <f>+(97339597+2532210)/1000000</f>
        <v>99.871807000000004</v>
      </c>
      <c r="H18" s="102">
        <f>+(273997896+4310552+4865880+1167686)/1000000</f>
        <v>284.34201400000001</v>
      </c>
      <c r="I18" s="102">
        <f>+(100987120+6376579)/1000000</f>
        <v>107.363699</v>
      </c>
      <c r="J18" s="102">
        <f>+(17873614-3809242)/1000000</f>
        <v>14.064372000000001</v>
      </c>
      <c r="K18" s="102">
        <f t="shared" si="1"/>
        <v>505.64189199999998</v>
      </c>
      <c r="L18" s="102">
        <f>+(45481702+1654892)/1000000</f>
        <v>47.136594000000002</v>
      </c>
      <c r="M18" s="102">
        <f>+(15408934+1715633+173419)/1000000</f>
        <v>17.297986000000002</v>
      </c>
      <c r="N18" s="102">
        <f>+(22656332+130347)/1000000</f>
        <v>22.786678999999999</v>
      </c>
      <c r="O18" s="102">
        <f>+(4957569+18642145)/1000000</f>
        <v>23.599713999999999</v>
      </c>
      <c r="P18" s="102">
        <f t="shared" si="2"/>
        <v>110.82097300000001</v>
      </c>
      <c r="Q18" s="102">
        <f>+(26449593+633631)/1000000</f>
        <v>27.083224000000001</v>
      </c>
      <c r="R18" s="102">
        <f>+(4554168-210087+635360+22109)/1000000</f>
        <v>5.0015499999999999</v>
      </c>
      <c r="S18" s="102">
        <f>+(22656332+130347)/1000000</f>
        <v>22.786678999999999</v>
      </c>
      <c r="T18" s="102">
        <f>+(2890789+275023)/1000000</f>
        <v>3.1658119999999998</v>
      </c>
      <c r="U18" s="102">
        <f t="shared" si="3"/>
        <v>58.037265000000005</v>
      </c>
      <c r="V18" s="102">
        <f>-82230060/1000000</f>
        <v>-82.230059999999995</v>
      </c>
      <c r="W18" s="102">
        <f>155432607/1000000</f>
        <v>155.43260699999999</v>
      </c>
      <c r="X18" s="102">
        <f>48916176/1000000</f>
        <v>48.916176</v>
      </c>
      <c r="Y18" s="102">
        <f>731936/1000000</f>
        <v>0.73193600000000003</v>
      </c>
      <c r="Z18" s="102">
        <f t="shared" si="4"/>
        <v>122.85065899999999</v>
      </c>
      <c r="AA18" s="102">
        <f>113388334/1000000</f>
        <v>113.388334</v>
      </c>
      <c r="AB18" s="102">
        <f>+(4249000+139000)/1000000</f>
        <v>4.3879999999999999</v>
      </c>
      <c r="AC18" s="102">
        <f>103069083/1000000</f>
        <v>103.06908300000001</v>
      </c>
      <c r="AD18" s="102">
        <f>50016000/1000000</f>
        <v>50.015999999999998</v>
      </c>
      <c r="AE18" s="102">
        <f>90219913/1000000</f>
        <v>90.219913000000005</v>
      </c>
      <c r="AF18" s="102">
        <f>103804662/1000000</f>
        <v>103.80466199999999</v>
      </c>
      <c r="AG18" s="102">
        <f>+BS_Non_Life!B18</f>
        <v>505.654023</v>
      </c>
      <c r="AH18" s="102">
        <f>+BS_Non_Life!C18</f>
        <v>473.503243</v>
      </c>
      <c r="AI18" s="102">
        <f>+(51408695+78154100)/1000000</f>
        <v>129.56279499999999</v>
      </c>
      <c r="AJ18" s="102">
        <f>+BS_Non_Life!H18</f>
        <v>2421.603431</v>
      </c>
    </row>
    <row r="19" spans="1:36" ht="10.9" customHeight="1" x14ac:dyDescent="0.2">
      <c r="A19" s="101" t="s">
        <v>130</v>
      </c>
      <c r="B19" s="102">
        <f>128743409/1000000</f>
        <v>128.74340900000001</v>
      </c>
      <c r="C19" s="102">
        <f>+(106596424+1199433)/1000000</f>
        <v>107.795857</v>
      </c>
      <c r="D19" s="102">
        <f>120933246/1000000</f>
        <v>120.933246</v>
      </c>
      <c r="E19" s="102">
        <f>51416540/1000000</f>
        <v>51.416539999999998</v>
      </c>
      <c r="F19" s="102">
        <f t="shared" si="0"/>
        <v>408.88905199999999</v>
      </c>
      <c r="G19" s="102">
        <f>42182983/1000000</f>
        <v>42.182983</v>
      </c>
      <c r="H19" s="102">
        <f>+(73231999+1049948)/1000000</f>
        <v>74.281947000000002</v>
      </c>
      <c r="I19" s="102">
        <f>119833986/1000000</f>
        <v>119.833986</v>
      </c>
      <c r="J19" s="102">
        <f>7423074/1000000</f>
        <v>7.4230739999999997</v>
      </c>
      <c r="K19" s="102">
        <f t="shared" si="1"/>
        <v>243.72199000000001</v>
      </c>
      <c r="L19" s="102">
        <f>61465076/1000000</f>
        <v>61.465076000000003</v>
      </c>
      <c r="M19" s="102">
        <f>+(10361442+173419)/1000000</f>
        <v>10.534860999999999</v>
      </c>
      <c r="N19" s="102">
        <f>14207020/1000000</f>
        <v>14.20702</v>
      </c>
      <c r="O19" s="102">
        <f>9868276/1000000</f>
        <v>9.8682759999999998</v>
      </c>
      <c r="P19" s="102">
        <f t="shared" si="2"/>
        <v>96.075232999999997</v>
      </c>
      <c r="Q19" s="102">
        <f>-4455393/1000000</f>
        <v>-4.4553929999999999</v>
      </c>
      <c r="R19" s="102">
        <f>+(9232415+22109)/1000000</f>
        <v>9.254524</v>
      </c>
      <c r="S19" s="102">
        <f>14291849/1000000</f>
        <v>14.291848999999999</v>
      </c>
      <c r="T19" s="102">
        <f>2079997/1000000</f>
        <v>2.0799970000000001</v>
      </c>
      <c r="U19" s="102">
        <f t="shared" si="3"/>
        <v>21.170976999999997</v>
      </c>
      <c r="V19" s="102">
        <f>6806673/1000000</f>
        <v>6.806673</v>
      </c>
      <c r="W19" s="102">
        <f>27582326/1000000</f>
        <v>27.582325999999998</v>
      </c>
      <c r="X19" s="102">
        <f>19268793/1000000</f>
        <v>19.268792999999999</v>
      </c>
      <c r="Y19" s="102">
        <f>1575673/1000000</f>
        <v>1.5756730000000001</v>
      </c>
      <c r="Z19" s="102">
        <f t="shared" si="4"/>
        <v>55.233465000000002</v>
      </c>
      <c r="AA19" s="102">
        <f>76807272/1000000</f>
        <v>76.807271999999998</v>
      </c>
      <c r="AB19" s="102">
        <f>29308173/1000000</f>
        <v>29.308173</v>
      </c>
      <c r="AC19" s="102">
        <v>0</v>
      </c>
      <c r="AD19" s="102">
        <f>4000000/1000000</f>
        <v>4</v>
      </c>
      <c r="AE19" s="102">
        <f>88691412/1000000</f>
        <v>88.691412</v>
      </c>
      <c r="AF19" s="102">
        <f>48849802/1000000</f>
        <v>48.849801999999997</v>
      </c>
      <c r="AG19" s="102">
        <f>+BS_Non_Life!B19</f>
        <v>55.633989999999997</v>
      </c>
      <c r="AH19" s="102">
        <f>+BS_Non_Life!C19</f>
        <v>494.93560500000001</v>
      </c>
      <c r="AI19" s="102">
        <f>+(38147518+5626303)/1000000</f>
        <v>43.773820999999998</v>
      </c>
      <c r="AJ19" s="102">
        <f>+BS_Non_Life!H19</f>
        <v>1107.8840030000001</v>
      </c>
    </row>
    <row r="20" spans="1:36" ht="10.9" customHeight="1" x14ac:dyDescent="0.2">
      <c r="A20" s="101" t="s">
        <v>131</v>
      </c>
      <c r="B20" s="102">
        <f>213522174/1000000</f>
        <v>213.52217400000001</v>
      </c>
      <c r="C20" s="102">
        <f>163573382/1000000</f>
        <v>163.57338200000001</v>
      </c>
      <c r="D20" s="102">
        <f>69051234/1000000</f>
        <v>69.051233999999994</v>
      </c>
      <c r="E20" s="102">
        <f>65629930/1000000</f>
        <v>65.629930000000002</v>
      </c>
      <c r="F20" s="102">
        <f t="shared" si="0"/>
        <v>511.77672000000001</v>
      </c>
      <c r="G20" s="102">
        <f>102070005/1000000</f>
        <v>102.07000499999999</v>
      </c>
      <c r="H20" s="102">
        <f>113319505/1000000</f>
        <v>113.31950500000001</v>
      </c>
      <c r="I20" s="102">
        <f>65220707/1000000</f>
        <v>65.220707000000004</v>
      </c>
      <c r="J20" s="102">
        <f>23544228/1000000</f>
        <v>23.544228</v>
      </c>
      <c r="K20" s="102">
        <f t="shared" si="1"/>
        <v>304.15444500000001</v>
      </c>
      <c r="L20" s="102">
        <f>69620883/1000000</f>
        <v>69.620883000000006</v>
      </c>
      <c r="M20" s="102">
        <f>40030326/1000000</f>
        <v>40.030326000000002</v>
      </c>
      <c r="N20" s="102">
        <f>11222589/1000000</f>
        <v>11.222588999999999</v>
      </c>
      <c r="O20" s="102">
        <f>+(8580829+6055)/1000000</f>
        <v>8.5868839999999995</v>
      </c>
      <c r="P20" s="102">
        <f t="shared" si="2"/>
        <v>129.46068200000002</v>
      </c>
      <c r="Q20" s="102">
        <f>36652512/1000000</f>
        <v>36.652512000000002</v>
      </c>
      <c r="R20" s="102">
        <f>12267862/1000000</f>
        <v>12.267861999999999</v>
      </c>
      <c r="S20" s="102">
        <f>11222589/1000000</f>
        <v>11.222588999999999</v>
      </c>
      <c r="T20" s="102">
        <f>-88787/1000000</f>
        <v>-8.8787000000000005E-2</v>
      </c>
      <c r="U20" s="102">
        <f t="shared" si="3"/>
        <v>60.054175999999998</v>
      </c>
      <c r="V20" s="102">
        <f>376033/1000000</f>
        <v>0.37603300000000001</v>
      </c>
      <c r="W20" s="102">
        <f>50876832/1000000</f>
        <v>50.876832</v>
      </c>
      <c r="X20" s="102">
        <f>26627067/1000000</f>
        <v>26.627067</v>
      </c>
      <c r="Y20" s="102">
        <f>13890036/1000000</f>
        <v>13.890036</v>
      </c>
      <c r="Z20" s="102">
        <f t="shared" si="4"/>
        <v>91.769967999999992</v>
      </c>
      <c r="AA20" s="102">
        <f>53400913/1000000</f>
        <v>53.400913000000003</v>
      </c>
      <c r="AB20" s="102">
        <f>19700000/1000000</f>
        <v>19.7</v>
      </c>
      <c r="AC20" s="102">
        <f>32217520/1000000</f>
        <v>32.21752</v>
      </c>
      <c r="AD20" s="102">
        <f>1000000/1000000</f>
        <v>1</v>
      </c>
      <c r="AE20" s="102">
        <f>798501/1000000</f>
        <v>0.79850100000000002</v>
      </c>
      <c r="AF20" s="102">
        <f>315108/1000000</f>
        <v>0.315108</v>
      </c>
      <c r="AG20" s="102">
        <f>+BS_Non_Life!B20</f>
        <v>60.298820999999997</v>
      </c>
      <c r="AH20" s="102">
        <f>+BS_Non_Life!C20</f>
        <v>123.49096299999999</v>
      </c>
      <c r="AI20" s="102">
        <f>+(6733033+1547520)/1000000</f>
        <v>8.2805529999999994</v>
      </c>
      <c r="AJ20" s="102">
        <f>+BS_Non_Life!H20</f>
        <v>1350.686794</v>
      </c>
    </row>
    <row r="21" spans="1:36" ht="10.9" customHeight="1" x14ac:dyDescent="0.2">
      <c r="A21" s="101" t="s">
        <v>132</v>
      </c>
      <c r="B21" s="102">
        <f>1692786544/1000000</f>
        <v>1692.786544</v>
      </c>
      <c r="C21" s="102">
        <f>+(1261165852+1142800)/1000000</f>
        <v>1262.3086519999999</v>
      </c>
      <c r="D21" s="102">
        <f>181147999/1000000</f>
        <v>181.147999</v>
      </c>
      <c r="E21" s="102">
        <f>542385635/1000000</f>
        <v>542.38563499999998</v>
      </c>
      <c r="F21" s="102">
        <f t="shared" si="0"/>
        <v>3678.6288300000001</v>
      </c>
      <c r="G21" s="102">
        <f>462654480/1000000</f>
        <v>462.65447999999998</v>
      </c>
      <c r="H21" s="102">
        <f>929548609/1000000</f>
        <v>929.54860900000006</v>
      </c>
      <c r="I21" s="102">
        <f>163479811/1000000</f>
        <v>163.47981100000001</v>
      </c>
      <c r="J21" s="102">
        <f>104849365/1000000</f>
        <v>104.84936500000001</v>
      </c>
      <c r="K21" s="102">
        <f t="shared" si="1"/>
        <v>1660.5322650000001</v>
      </c>
      <c r="L21" s="102">
        <f>833507492/1000000</f>
        <v>833.50749199999996</v>
      </c>
      <c r="M21" s="102">
        <f>242592494/1000000</f>
        <v>242.59249399999999</v>
      </c>
      <c r="N21" s="102">
        <f>33547913/1000000</f>
        <v>33.547913000000001</v>
      </c>
      <c r="O21" s="102">
        <f>28956458/1000000</f>
        <v>28.956458000000001</v>
      </c>
      <c r="P21" s="102">
        <f t="shared" si="2"/>
        <v>1138.6043570000002</v>
      </c>
      <c r="Q21" s="102">
        <f>222732869/1000000</f>
        <v>222.73286899999999</v>
      </c>
      <c r="R21" s="102">
        <f>188109870/1000000</f>
        <v>188.10987</v>
      </c>
      <c r="S21" s="102">
        <f>33547913/1000000</f>
        <v>33.547913000000001</v>
      </c>
      <c r="T21" s="102">
        <f>26541688/1000000</f>
        <v>26.541688000000001</v>
      </c>
      <c r="U21" s="102">
        <f t="shared" si="3"/>
        <v>470.93234000000001</v>
      </c>
      <c r="V21" s="102">
        <f>19655493/1000000</f>
        <v>19.655493</v>
      </c>
      <c r="W21" s="102">
        <f>315277178/1000000</f>
        <v>315.27717799999999</v>
      </c>
      <c r="X21" s="102">
        <f>55633672/1000000</f>
        <v>55.633671999999997</v>
      </c>
      <c r="Y21" s="102">
        <f>12499920/1000000</f>
        <v>12.499919999999999</v>
      </c>
      <c r="Z21" s="102">
        <f t="shared" si="4"/>
        <v>403.06626299999994</v>
      </c>
      <c r="AA21" s="102">
        <f>318887851/1000000</f>
        <v>318.88785100000001</v>
      </c>
      <c r="AB21" s="102">
        <f>+(60000000+9476963)/1000000</f>
        <v>69.476962999999998</v>
      </c>
      <c r="AC21" s="102">
        <f>161382374/1000000</f>
        <v>161.382374</v>
      </c>
      <c r="AD21" s="102">
        <f>83026613/1000000</f>
        <v>83.026612999999998</v>
      </c>
      <c r="AE21" s="102">
        <f>231736883/1000000</f>
        <v>231.73688300000001</v>
      </c>
      <c r="AF21" s="102">
        <f>82759861/1000000</f>
        <v>82.759861000000001</v>
      </c>
      <c r="AG21" s="102">
        <f>+BS_Non_Life!B21</f>
        <v>3940.1086890000001</v>
      </c>
      <c r="AH21" s="102">
        <f>+BS_Non_Life!C21</f>
        <v>813.50566800000001</v>
      </c>
      <c r="AI21" s="102">
        <f>238995163/1000000</f>
        <v>238.99516299999999</v>
      </c>
      <c r="AJ21" s="102">
        <f>+BS_Non_Life!H21</f>
        <v>10165.419902</v>
      </c>
    </row>
    <row r="22" spans="1:36" ht="10.9" customHeight="1" x14ac:dyDescent="0.2">
      <c r="A22" s="101" t="s">
        <v>133</v>
      </c>
      <c r="B22" s="102">
        <f>128045129/1000000</f>
        <v>128.045129</v>
      </c>
      <c r="C22" s="102">
        <f>174241392/1000000</f>
        <v>174.24139199999999</v>
      </c>
      <c r="D22" s="102">
        <f>32588359/1000000</f>
        <v>32.588358999999997</v>
      </c>
      <c r="E22" s="102">
        <f>64911426/1000000</f>
        <v>64.911426000000006</v>
      </c>
      <c r="F22" s="102">
        <f t="shared" si="0"/>
        <v>399.78630599999997</v>
      </c>
      <c r="G22" s="102">
        <f>31527001/1000000</f>
        <v>31.527000999999998</v>
      </c>
      <c r="H22" s="102">
        <f>120682441/1000000</f>
        <v>120.682441</v>
      </c>
      <c r="I22" s="102">
        <f>24405956/1000000</f>
        <v>24.405956</v>
      </c>
      <c r="J22" s="102">
        <f>21495185/1000000</f>
        <v>21.495184999999999</v>
      </c>
      <c r="K22" s="102">
        <f t="shared" si="1"/>
        <v>198.11058299999999</v>
      </c>
      <c r="L22" s="102">
        <f>9189513/1000000</f>
        <v>9.1895129999999998</v>
      </c>
      <c r="M22" s="102">
        <f>3732697/1000000</f>
        <v>3.7326969999999999</v>
      </c>
      <c r="N22" s="102">
        <f>3956720/1000000</f>
        <v>3.9567199999999998</v>
      </c>
      <c r="O22" s="102">
        <f>8140063/1000000</f>
        <v>8.1400629999999996</v>
      </c>
      <c r="P22" s="102">
        <f t="shared" si="2"/>
        <v>25.018993000000002</v>
      </c>
      <c r="Q22" s="102">
        <f>1990616/1000000</f>
        <v>1.9906159999999999</v>
      </c>
      <c r="R22" s="102">
        <f>2496095/1000000</f>
        <v>2.496095</v>
      </c>
      <c r="S22" s="102">
        <f>3956720/1000000</f>
        <v>3.9567199999999998</v>
      </c>
      <c r="T22" s="102">
        <f>436613/1000000</f>
        <v>0.43661299999999997</v>
      </c>
      <c r="U22" s="102">
        <f t="shared" si="3"/>
        <v>8.8800439999999998</v>
      </c>
      <c r="V22" s="102">
        <f>-5317201/1000000</f>
        <v>-5.3172009999999998</v>
      </c>
      <c r="W22" s="102">
        <f>33962771/1000000</f>
        <v>33.962770999999996</v>
      </c>
      <c r="X22" s="102">
        <f>6940115/1000000</f>
        <v>6.9401149999999996</v>
      </c>
      <c r="Y22" s="102">
        <f>5185785/1000000</f>
        <v>5.1857850000000001</v>
      </c>
      <c r="Z22" s="102">
        <f t="shared" si="4"/>
        <v>40.771470000000001</v>
      </c>
      <c r="AA22" s="102">
        <f>31773289/1000000</f>
        <v>31.773288999999998</v>
      </c>
      <c r="AB22" s="102">
        <f>11744891/1000000</f>
        <v>11.744891000000001</v>
      </c>
      <c r="AC22" s="102">
        <v>0</v>
      </c>
      <c r="AD22" s="102">
        <v>0</v>
      </c>
      <c r="AE22" s="102">
        <f>18345975/1000000</f>
        <v>18.345974999999999</v>
      </c>
      <c r="AF22" s="102">
        <f>-1401572/1000000</f>
        <v>-1.401572</v>
      </c>
      <c r="AG22" s="102">
        <f>+BS_Non_Life!B22</f>
        <v>63.477370000000001</v>
      </c>
      <c r="AH22" s="102">
        <f>+BS_Non_Life!C22</f>
        <v>221.25</v>
      </c>
      <c r="AI22" s="102">
        <f>16820284/1000000</f>
        <v>16.820284000000001</v>
      </c>
      <c r="AJ22" s="102">
        <f>+BS_Non_Life!H22</f>
        <v>809.01707400000009</v>
      </c>
    </row>
    <row r="23" spans="1:36" ht="10.9" customHeight="1" x14ac:dyDescent="0.2">
      <c r="A23" s="101" t="s">
        <v>134</v>
      </c>
      <c r="B23" s="102">
        <f>+(133803319+6757294)/1000000</f>
        <v>140.56061299999999</v>
      </c>
      <c r="C23" s="102">
        <f>+(173180383+2030010+15336973+162381)/1000000</f>
        <v>190.70974699999999</v>
      </c>
      <c r="D23" s="102">
        <f>+(52358458+2294044)/1000000</f>
        <v>54.652501999999998</v>
      </c>
      <c r="E23" s="102">
        <f>+(8723548+21112759)/1000000</f>
        <v>29.836307000000001</v>
      </c>
      <c r="F23" s="102">
        <f t="shared" si="0"/>
        <v>415.75916899999999</v>
      </c>
      <c r="G23" s="102">
        <f>+(79292736+581499)/1000000</f>
        <v>79.874234999999999</v>
      </c>
      <c r="H23" s="102">
        <f>+(157499267+1381890+2552565+62430)/1000000</f>
        <v>161.496152</v>
      </c>
      <c r="I23" s="102">
        <f>+(50846043+2163236)/1000000</f>
        <v>53.009278999999999</v>
      </c>
      <c r="J23" s="102">
        <f>+(8406835-1215716)/1000000</f>
        <v>7.1911189999999996</v>
      </c>
      <c r="K23" s="102">
        <f t="shared" si="1"/>
        <v>301.570785</v>
      </c>
      <c r="L23" s="102">
        <f>+(28468973+1444197)/1000000</f>
        <v>29.913170000000001</v>
      </c>
      <c r="M23" s="102">
        <f>+(6036504+1757140+171246)/1000000</f>
        <v>7.9648899999999996</v>
      </c>
      <c r="N23" s="102">
        <f>+(5749148+165750)/1000000</f>
        <v>5.914898</v>
      </c>
      <c r="O23" s="102">
        <f>+(0+18494073)/1000000</f>
        <v>18.494073</v>
      </c>
      <c r="P23" s="102">
        <f t="shared" si="2"/>
        <v>62.287030999999999</v>
      </c>
      <c r="Q23" s="102">
        <f>+(26131324+524014)/1000000</f>
        <v>26.655338</v>
      </c>
      <c r="R23" s="102">
        <f>+(5738843+348570+19936)/1000000</f>
        <v>6.1073490000000001</v>
      </c>
      <c r="S23" s="102">
        <f>+(5749148+165750)/1000000</f>
        <v>5.914898</v>
      </c>
      <c r="T23" s="102">
        <f>+(197761)/1000000</f>
        <v>0.19776099999999999</v>
      </c>
      <c r="U23" s="102">
        <f t="shared" si="3"/>
        <v>38.875346</v>
      </c>
      <c r="V23" s="102">
        <f>-19892474/1000000</f>
        <v>-19.892474</v>
      </c>
      <c r="W23" s="102">
        <f>70781039/1000000</f>
        <v>70.781039000000007</v>
      </c>
      <c r="X23" s="102">
        <f>23011156/1000000</f>
        <v>23.011156</v>
      </c>
      <c r="Y23" s="102">
        <f>-4083319/1000000</f>
        <v>-4.0833190000000004</v>
      </c>
      <c r="Z23" s="102">
        <f t="shared" si="4"/>
        <v>69.816401999999997</v>
      </c>
      <c r="AA23" s="102">
        <f>74587403/1000000</f>
        <v>74.587402999999995</v>
      </c>
      <c r="AB23" s="102">
        <f>21376945/1000000</f>
        <v>21.376944999999999</v>
      </c>
      <c r="AC23" s="102">
        <f>33943694/1000000</f>
        <v>33.943694000000001</v>
      </c>
      <c r="AD23" s="102">
        <f>16000000/1000000</f>
        <v>16</v>
      </c>
      <c r="AE23" s="102">
        <f>38486576/1000000</f>
        <v>38.486575999999999</v>
      </c>
      <c r="AF23" s="102">
        <f>35219812/1000000</f>
        <v>35.219811999999997</v>
      </c>
      <c r="AG23" s="102">
        <f>+BS_Non_Life!B23</f>
        <v>28.387791</v>
      </c>
      <c r="AH23" s="102">
        <f>+BS_Non_Life!C23</f>
        <v>406.40499999999997</v>
      </c>
      <c r="AI23" s="102">
        <f>28191763/1000000</f>
        <v>28.191763000000002</v>
      </c>
      <c r="AJ23" s="102">
        <f>+BS_Non_Life!H23</f>
        <v>1026.471278</v>
      </c>
    </row>
    <row r="24" spans="1:36" ht="10.9" customHeight="1" x14ac:dyDescent="0.2">
      <c r="A24" s="101" t="s">
        <v>135</v>
      </c>
      <c r="B24" s="102">
        <f>224241705/1000000</f>
        <v>224.241705</v>
      </c>
      <c r="C24" s="102">
        <f>110743474/1000000</f>
        <v>110.74347400000001</v>
      </c>
      <c r="D24" s="102">
        <f>53746961/1000000</f>
        <v>53.746960999999999</v>
      </c>
      <c r="E24" s="102">
        <f>74144740/1000000</f>
        <v>74.144739999999999</v>
      </c>
      <c r="F24" s="102">
        <f t="shared" si="0"/>
        <v>462.87688000000003</v>
      </c>
      <c r="G24" s="102">
        <f>107399213/1000000</f>
        <v>107.399213</v>
      </c>
      <c r="H24" s="102">
        <f>88593689/1000000</f>
        <v>88.593688999999998</v>
      </c>
      <c r="I24" s="102">
        <f>53027667/1000000</f>
        <v>53.027667000000001</v>
      </c>
      <c r="J24" s="102">
        <f>29806357/1000000</f>
        <v>29.806356999999998</v>
      </c>
      <c r="K24" s="102">
        <f t="shared" si="1"/>
        <v>278.82692600000001</v>
      </c>
      <c r="L24" s="102">
        <f>51496761/1000000</f>
        <v>51.496760999999999</v>
      </c>
      <c r="M24" s="102">
        <f>883250/1000000</f>
        <v>0.88324999999999998</v>
      </c>
      <c r="N24" s="102">
        <f>14416334/1000000</f>
        <v>14.416334000000001</v>
      </c>
      <c r="O24" s="102">
        <f>8378062/1000000</f>
        <v>8.3780619999999999</v>
      </c>
      <c r="P24" s="102">
        <f t="shared" si="2"/>
        <v>75.174407000000002</v>
      </c>
      <c r="Q24" s="102">
        <f>44188950/1000000</f>
        <v>44.188949999999998</v>
      </c>
      <c r="R24" s="102">
        <f>687699/1000000</f>
        <v>0.68769899999999995</v>
      </c>
      <c r="S24" s="102">
        <f>14416334/1000000</f>
        <v>14.416334000000001</v>
      </c>
      <c r="T24" s="102">
        <f>509948/1000000</f>
        <v>0.50994799999999996</v>
      </c>
      <c r="U24" s="102">
        <f t="shared" si="3"/>
        <v>59.802931000000001</v>
      </c>
      <c r="V24" s="102">
        <f>-69311485/1000000</f>
        <v>-69.311485000000005</v>
      </c>
      <c r="W24" s="102">
        <f>37187818/1000000</f>
        <v>37.187818</v>
      </c>
      <c r="X24" s="102">
        <f>18280974/1000000</f>
        <v>18.280974000000001</v>
      </c>
      <c r="Y24" s="102">
        <f>8696644/1000000</f>
        <v>8.6966439999999992</v>
      </c>
      <c r="Z24" s="102">
        <f t="shared" si="4"/>
        <v>-5.146049000000005</v>
      </c>
      <c r="AA24" s="102">
        <f>7682111/1000000</f>
        <v>7.6821109999999999</v>
      </c>
      <c r="AB24" s="102">
        <f>2272845/1000000</f>
        <v>2.2728449999999998</v>
      </c>
      <c r="AC24" s="102">
        <f>5364816/1000000</f>
        <v>5.3648160000000003</v>
      </c>
      <c r="AD24" s="102">
        <f>2000000/1000000</f>
        <v>2</v>
      </c>
      <c r="AE24" s="102">
        <f>16867489/1000000</f>
        <v>16.867488999999999</v>
      </c>
      <c r="AF24" s="102">
        <f>45114496/1000000</f>
        <v>45.114496000000003</v>
      </c>
      <c r="AG24" s="102">
        <f>+BS_Non_Life!B24</f>
        <v>218.601258</v>
      </c>
      <c r="AH24" s="102">
        <f>+BS_Non_Life!C24</f>
        <v>276.39999999999998</v>
      </c>
      <c r="AI24" s="102">
        <f>+(13952684+2751104+11447003)/1000000</f>
        <v>28.150791000000002</v>
      </c>
      <c r="AJ24" s="102">
        <f>+BS_Non_Life!H24</f>
        <v>959.88425299999994</v>
      </c>
    </row>
    <row r="25" spans="1:36" ht="10.9" customHeight="1" x14ac:dyDescent="0.2">
      <c r="A25" s="101" t="s">
        <v>136</v>
      </c>
      <c r="B25" s="102">
        <f>(109817721+13399171)/1000000</f>
        <v>123.216892</v>
      </c>
      <c r="C25" s="102">
        <f>+(126235199+3925876+15751308+189433)/1000000</f>
        <v>146.10181600000001</v>
      </c>
      <c r="D25" s="102">
        <f>(23654012+2502156)/1000000</f>
        <v>26.156168000000001</v>
      </c>
      <c r="E25" s="102">
        <f>(20110025+35006969)/1000000</f>
        <v>55.116993999999998</v>
      </c>
      <c r="F25" s="102">
        <f t="shared" si="0"/>
        <v>350.59186999999997</v>
      </c>
      <c r="G25" s="102">
        <f>(60486016+2454082)/1000000</f>
        <v>62.940097999999999</v>
      </c>
      <c r="H25" s="102">
        <f>+(103066253+3925876+3898143+39948)/1000000</f>
        <v>110.93022000000001</v>
      </c>
      <c r="I25" s="102">
        <f>(23654012+2313549)/1000000</f>
        <v>25.967561</v>
      </c>
      <c r="J25" s="102">
        <f>(18310725+576814)/1000000</f>
        <v>18.887539</v>
      </c>
      <c r="K25" s="102">
        <f t="shared" si="1"/>
        <v>218.72541799999999</v>
      </c>
      <c r="L25" s="102">
        <f>+(69002941+1586272)/1000000</f>
        <v>70.589213000000001</v>
      </c>
      <c r="M25" s="102">
        <f>+(10802957+390326+173419)/1000000</f>
        <v>11.366702</v>
      </c>
      <c r="N25" s="102">
        <f>+(6487519+130348)/1000000</f>
        <v>6.6178670000000004</v>
      </c>
      <c r="O25" s="102">
        <f>+(7776461+7785229)/1000000</f>
        <v>15.56169</v>
      </c>
      <c r="P25" s="102">
        <f t="shared" si="2"/>
        <v>104.13547200000001</v>
      </c>
      <c r="Q25" s="102">
        <f>+(11834760+498567)/1000000</f>
        <v>12.333327000000001</v>
      </c>
      <c r="R25" s="102">
        <f>+(10802957+346096+22109)/1000000</f>
        <v>11.171162000000001</v>
      </c>
      <c r="S25" s="102">
        <f>+(6487519+130348)/1000000</f>
        <v>6.6178670000000004</v>
      </c>
      <c r="T25" s="102">
        <f>+(7219080+63393)/1000000</f>
        <v>7.2824730000000004</v>
      </c>
      <c r="U25" s="102">
        <f t="shared" si="3"/>
        <v>37.404828999999999</v>
      </c>
      <c r="V25" s="102">
        <f>20488867/1000000</f>
        <v>20.488866999999999</v>
      </c>
      <c r="W25" s="102">
        <f>47292588/1000000</f>
        <v>47.292588000000002</v>
      </c>
      <c r="X25" s="102">
        <f>9205947/1000000</f>
        <v>9.2059470000000001</v>
      </c>
      <c r="Y25" s="102">
        <f>2950977/1000000</f>
        <v>2.950977</v>
      </c>
      <c r="Z25" s="102">
        <f t="shared" si="4"/>
        <v>79.938378999999983</v>
      </c>
      <c r="AA25" s="102">
        <f>69503774/1000000</f>
        <v>69.503774000000007</v>
      </c>
      <c r="AB25" s="102">
        <f>+(23422480+3298875)/1000000</f>
        <v>26.721354999999999</v>
      </c>
      <c r="AC25" s="102">
        <f>+(19176330)/1000000</f>
        <v>19.17633</v>
      </c>
      <c r="AD25" s="102">
        <f>3000000/1000000</f>
        <v>3</v>
      </c>
      <c r="AE25" s="102">
        <f>51925274/1000000</f>
        <v>51.925274000000002</v>
      </c>
      <c r="AF25" s="102">
        <f>31319186/1000000</f>
        <v>31.319185999999998</v>
      </c>
      <c r="AG25" s="102">
        <f>+BS_Non_Life!B25</f>
        <v>25.344476</v>
      </c>
      <c r="AH25" s="102">
        <f>+BS_Non_Life!C25</f>
        <v>301.60973300000001</v>
      </c>
      <c r="AI25" s="102">
        <f>19877084/1000000</f>
        <v>19.877084</v>
      </c>
      <c r="AJ25" s="102">
        <f>+BS_Non_Life!H25</f>
        <v>964.68228999999997</v>
      </c>
    </row>
    <row r="26" spans="1:36" ht="10.9" customHeight="1" x14ac:dyDescent="0.2">
      <c r="A26" s="101" t="s">
        <v>137</v>
      </c>
      <c r="B26" s="102">
        <f>+(138919125+8851645)/1000000</f>
        <v>147.77077</v>
      </c>
      <c r="C26" s="102">
        <f>+(66806998+15940739)/1000000</f>
        <v>82.747737000000001</v>
      </c>
      <c r="D26" s="102">
        <f>+(16508140+2502156)/1000000</f>
        <v>19.010296</v>
      </c>
      <c r="E26" s="102">
        <f>+(37566174+39554497)/1000000</f>
        <v>77.120671000000002</v>
      </c>
      <c r="F26" s="102">
        <f t="shared" si="0"/>
        <v>326.649474</v>
      </c>
      <c r="G26" s="102">
        <f>51797473/1000000</f>
        <v>51.797472999999997</v>
      </c>
      <c r="H26" s="102">
        <f>59555771/1000000</f>
        <v>59.555771</v>
      </c>
      <c r="I26" s="102">
        <f>16244635/1000000</f>
        <v>16.244634999999999</v>
      </c>
      <c r="J26" s="102">
        <f>28775202/1000000</f>
        <v>28.775202</v>
      </c>
      <c r="K26" s="102">
        <f t="shared" si="1"/>
        <v>156.37308099999998</v>
      </c>
      <c r="L26" s="102">
        <f>90952921/1000000</f>
        <v>90.952921000000003</v>
      </c>
      <c r="M26" s="102">
        <f>2537982/1000000</f>
        <v>2.537982</v>
      </c>
      <c r="N26" s="102">
        <f>4586084/1000000</f>
        <v>4.5860839999999996</v>
      </c>
      <c r="O26" s="102">
        <f>779203/1000000</f>
        <v>0.77920299999999998</v>
      </c>
      <c r="P26" s="102">
        <f t="shared" si="2"/>
        <v>98.856189999999998</v>
      </c>
      <c r="Q26" s="102">
        <f>29681383/1000000</f>
        <v>29.681383</v>
      </c>
      <c r="R26" s="102">
        <f>-2056080/1000000</f>
        <v>-2.0560800000000001</v>
      </c>
      <c r="S26" s="102">
        <f>3914644/1000000</f>
        <v>3.914644</v>
      </c>
      <c r="T26" s="102">
        <f>-2051245/1000000</f>
        <v>-2.0512450000000002</v>
      </c>
      <c r="U26" s="102">
        <f t="shared" si="3"/>
        <v>29.488701999999996</v>
      </c>
      <c r="V26" s="102">
        <f>-27223272/1000000</f>
        <v>-27.223272000000001</v>
      </c>
      <c r="W26" s="102">
        <f>35798261/1000000</f>
        <v>35.798260999999997</v>
      </c>
      <c r="X26" s="102">
        <f>4878490/1000000</f>
        <v>4.8784900000000002</v>
      </c>
      <c r="Y26" s="102">
        <f>13382017/1000000</f>
        <v>13.382016999999999</v>
      </c>
      <c r="Z26" s="102">
        <f t="shared" si="4"/>
        <v>26.835495999999992</v>
      </c>
      <c r="AA26" s="102">
        <f>75138260/1000000</f>
        <v>75.138260000000002</v>
      </c>
      <c r="AB26" s="102">
        <f>(18250000+1000000)/1000000</f>
        <v>19.25</v>
      </c>
      <c r="AC26" s="102">
        <v>0</v>
      </c>
      <c r="AD26" s="102">
        <f>+(14700000+15000000)/1000000</f>
        <v>29.7</v>
      </c>
      <c r="AE26" s="102">
        <f>47836735/1000000</f>
        <v>47.836734999999997</v>
      </c>
      <c r="AF26" s="102">
        <f>21648475/1000000</f>
        <v>21.648475000000001</v>
      </c>
      <c r="AG26" s="102">
        <f>+BS_Non_Life!B26</f>
        <v>145.469369</v>
      </c>
      <c r="AH26" s="102">
        <f>+BS_Non_Life!C26</f>
        <v>575.64207399999998</v>
      </c>
      <c r="AI26" s="102">
        <f>+(43552141+9283104+1356271+10216745)/1000000</f>
        <v>64.408260999999996</v>
      </c>
      <c r="AJ26" s="102">
        <f>+BS_Non_Life!H26</f>
        <v>1313.016365</v>
      </c>
    </row>
    <row r="27" spans="1:36" ht="10.9" customHeight="1" x14ac:dyDescent="0.2">
      <c r="A27" s="101" t="s">
        <v>138</v>
      </c>
      <c r="B27" s="102">
        <f>151274058/1000000</f>
        <v>151.274058</v>
      </c>
      <c r="C27" s="102">
        <f>146978661/1000000</f>
        <v>146.97866099999999</v>
      </c>
      <c r="D27" s="102">
        <f>121578623/1000000</f>
        <v>121.57862299999999</v>
      </c>
      <c r="E27" s="102">
        <f>42077830/1000000</f>
        <v>42.077829999999999</v>
      </c>
      <c r="F27" s="102">
        <f t="shared" si="0"/>
        <v>461.90917199999996</v>
      </c>
      <c r="G27" s="102">
        <f>45206283/1000000</f>
        <v>45.206282999999999</v>
      </c>
      <c r="H27" s="102">
        <f>112146705/1000000</f>
        <v>112.146705</v>
      </c>
      <c r="I27" s="102">
        <f>111280145/1000000</f>
        <v>111.280145</v>
      </c>
      <c r="J27" s="102">
        <f>1222313/1000000</f>
        <v>1.222313</v>
      </c>
      <c r="K27" s="102">
        <f t="shared" si="1"/>
        <v>269.85544599999997</v>
      </c>
      <c r="L27" s="102">
        <f>63458462/1000000</f>
        <v>63.458461999999997</v>
      </c>
      <c r="M27" s="102">
        <f>40452562/1000000</f>
        <v>40.452562</v>
      </c>
      <c r="N27" s="102">
        <f>35856613/1000000</f>
        <v>35.856613000000003</v>
      </c>
      <c r="O27" s="102">
        <f>8554782/1000000</f>
        <v>8.5547819999999994</v>
      </c>
      <c r="P27" s="102">
        <f t="shared" si="2"/>
        <v>148.322419</v>
      </c>
      <c r="Q27" s="102">
        <f>2603628/1000000</f>
        <v>2.6036280000000001</v>
      </c>
      <c r="R27" s="102">
        <f>39736989/1000000</f>
        <v>39.736989000000001</v>
      </c>
      <c r="S27" s="102">
        <f>35856613/1000000</f>
        <v>35.856613000000003</v>
      </c>
      <c r="T27" s="102">
        <f>845330/1000000</f>
        <v>0.84533000000000003</v>
      </c>
      <c r="U27" s="102">
        <f t="shared" si="3"/>
        <v>79.042560000000009</v>
      </c>
      <c r="V27" s="102">
        <f>12612069/1000000</f>
        <v>12.612069</v>
      </c>
      <c r="W27" s="102">
        <f>+(15317465+65268)/1000000</f>
        <v>15.382733</v>
      </c>
      <c r="X27" s="102">
        <f>2430910/1000000</f>
        <v>2.4309099999999999</v>
      </c>
      <c r="Y27" s="102">
        <f>-1675868/1000000</f>
        <v>-1.6758679999999999</v>
      </c>
      <c r="Z27" s="102">
        <f t="shared" si="4"/>
        <v>28.749844</v>
      </c>
      <c r="AA27" s="102">
        <f>20620068/1000000</f>
        <v>20.620068</v>
      </c>
      <c r="AB27" s="102">
        <f>+(1643472-918312)/1000000</f>
        <v>0.72516000000000003</v>
      </c>
      <c r="AC27" s="102">
        <v>0</v>
      </c>
      <c r="AD27" s="102">
        <f>13000000/1000000</f>
        <v>13</v>
      </c>
      <c r="AE27" s="102">
        <f>17108681/1000000</f>
        <v>17.108681000000001</v>
      </c>
      <c r="AF27" s="102">
        <f>17623039/1000000</f>
        <v>17.623038999999999</v>
      </c>
      <c r="AG27" s="102">
        <f>+BS_Non_Life!B27</f>
        <v>230.09948</v>
      </c>
      <c r="AH27" s="102">
        <f>+BS_Non_Life!C27</f>
        <v>1.5</v>
      </c>
      <c r="AI27" s="102">
        <f>15355349/1000000</f>
        <v>15.355349</v>
      </c>
      <c r="AJ27" s="102">
        <f>+BS_Non_Life!H27</f>
        <v>697.98488900000007</v>
      </c>
    </row>
    <row r="28" spans="1:36" ht="10.9" customHeight="1" x14ac:dyDescent="0.2">
      <c r="A28" s="101" t="s">
        <v>139</v>
      </c>
      <c r="B28" s="102">
        <f>+(128178194+8851645)/1000000</f>
        <v>137.02983900000001</v>
      </c>
      <c r="C28" s="102">
        <f>+(120665463+242600+15752511+189433)/1000000</f>
        <v>136.85000700000001</v>
      </c>
      <c r="D28" s="102">
        <f>+(8232613+2502156)/1000000</f>
        <v>10.734769</v>
      </c>
      <c r="E28" s="102">
        <f>+(18495056+39554497)/1000000</f>
        <v>58.049553000000003</v>
      </c>
      <c r="F28" s="102">
        <f t="shared" si="0"/>
        <v>342.66416800000007</v>
      </c>
      <c r="G28" s="102">
        <f>+(62190941+2293123)/1000000</f>
        <v>64.484064000000004</v>
      </c>
      <c r="H28" s="102">
        <f>+(93631806+242600+4111311+39948)/1000000</f>
        <v>98.025665000000004</v>
      </c>
      <c r="I28" s="102">
        <f>+(7532613+2101584)/1000000</f>
        <v>9.6341970000000003</v>
      </c>
      <c r="J28" s="102">
        <f>+(18495056+737774)/1000000</f>
        <v>19.23283</v>
      </c>
      <c r="K28" s="102">
        <f t="shared" si="1"/>
        <v>191.376756</v>
      </c>
      <c r="L28" s="102">
        <f>+(84305931+1447959)/1000000</f>
        <v>85.753889999999998</v>
      </c>
      <c r="M28" s="102">
        <f>+(12586122+364688+174757)/1000000</f>
        <v>13.125567</v>
      </c>
      <c r="N28" s="102">
        <f>+(554300+131830)/1000000</f>
        <v>0.68613000000000002</v>
      </c>
      <c r="O28" s="102">
        <f>+(61143+7920575)/1000000</f>
        <v>7.9817179999999999</v>
      </c>
      <c r="P28" s="102">
        <f t="shared" si="2"/>
        <v>107.54730500000001</v>
      </c>
      <c r="Q28" s="102">
        <f>+(65956737+421465)/1000000</f>
        <v>66.378202000000002</v>
      </c>
      <c r="R28" s="102">
        <f>+(3502033+325711+23446)/1000000</f>
        <v>3.8511899999999999</v>
      </c>
      <c r="S28" s="102">
        <f>+(554300+131830)/1000000</f>
        <v>0.68613000000000002</v>
      </c>
      <c r="T28" s="102">
        <f>+(61143+217094)/1000000</f>
        <v>0.27823700000000001</v>
      </c>
      <c r="U28" s="102">
        <f t="shared" si="3"/>
        <v>71.193759000000014</v>
      </c>
      <c r="V28" s="102">
        <f>-60155541/1000000</f>
        <v>-60.155540999999999</v>
      </c>
      <c r="W28" s="102">
        <f>47922815/1000000</f>
        <v>47.922815</v>
      </c>
      <c r="X28" s="102">
        <f>3208174/1000000</f>
        <v>3.2081740000000001</v>
      </c>
      <c r="Y28" s="102">
        <f>11033171/1000000</f>
        <v>11.033170999999999</v>
      </c>
      <c r="Z28" s="102">
        <f t="shared" si="4"/>
        <v>2.0086189999999995</v>
      </c>
      <c r="AA28" s="102">
        <f>59565837/1000000</f>
        <v>59.565837000000002</v>
      </c>
      <c r="AB28" s="102">
        <f>11798472/1000000</f>
        <v>11.798472</v>
      </c>
      <c r="AC28" s="102">
        <f>43095360/1000000</f>
        <v>43.095359999999999</v>
      </c>
      <c r="AD28" s="102">
        <f>+(19137676+1000000)/1000000</f>
        <v>20.137675999999999</v>
      </c>
      <c r="AE28" s="102">
        <f>40674629/1000000</f>
        <v>40.674629000000003</v>
      </c>
      <c r="AF28" s="102">
        <f>65105869/1000000</f>
        <v>65.105868999999998</v>
      </c>
      <c r="AG28" s="102">
        <f>+BS_Non_Life!B28</f>
        <v>90.765782000000002</v>
      </c>
      <c r="AH28" s="102">
        <f>+BS_Non_Life!C28</f>
        <v>884.96951200000001</v>
      </c>
      <c r="AI28" s="102">
        <f>64363705/1000000</f>
        <v>64.363704999999996</v>
      </c>
      <c r="AJ28" s="102">
        <f>+BS_Non_Life!H28</f>
        <v>1779.3447040000001</v>
      </c>
    </row>
    <row r="29" spans="1:36" s="8" customFormat="1" ht="10.9" customHeight="1" x14ac:dyDescent="0.2">
      <c r="A29" s="103" t="s">
        <v>140</v>
      </c>
      <c r="B29" s="102">
        <f>190469309/1000000</f>
        <v>190.46930900000001</v>
      </c>
      <c r="C29" s="102">
        <f>+(112248293+2689432)/1000000</f>
        <v>114.937725</v>
      </c>
      <c r="D29" s="102">
        <f>73144602/1000000</f>
        <v>73.144602000000006</v>
      </c>
      <c r="E29" s="102">
        <f>83798278/1000000</f>
        <v>83.798277999999996</v>
      </c>
      <c r="F29" s="102">
        <f t="shared" si="0"/>
        <v>462.34991400000001</v>
      </c>
      <c r="G29" s="102">
        <f>68607395/1000000</f>
        <v>68.607394999999997</v>
      </c>
      <c r="H29" s="102">
        <f>+(76287699+1519947)/1000000</f>
        <v>77.807646000000005</v>
      </c>
      <c r="I29" s="102">
        <f>70346495/1000000</f>
        <v>70.346495000000004</v>
      </c>
      <c r="J29" s="102">
        <f>29834976/1000000</f>
        <v>29.834976000000001</v>
      </c>
      <c r="K29" s="102">
        <f t="shared" si="1"/>
        <v>246.59651200000002</v>
      </c>
      <c r="L29" s="102">
        <f>39445538/1000000</f>
        <v>39.445537999999999</v>
      </c>
      <c r="M29" s="102">
        <f>+(3864455+173419)/1000000</f>
        <v>4.0378740000000004</v>
      </c>
      <c r="N29" s="102">
        <f>29582289/1000000</f>
        <v>29.582288999999999</v>
      </c>
      <c r="O29" s="102">
        <f>8049286/1000000</f>
        <v>8.0492860000000004</v>
      </c>
      <c r="P29" s="102">
        <f t="shared" si="2"/>
        <v>81.114986999999999</v>
      </c>
      <c r="Q29" s="102">
        <f>22364213/1000000</f>
        <v>22.364212999999999</v>
      </c>
      <c r="R29" s="102">
        <f>+(3820444+22109)/1000000</f>
        <v>3.8425530000000001</v>
      </c>
      <c r="S29" s="102">
        <f>29582289/1000000</f>
        <v>29.582288999999999</v>
      </c>
      <c r="T29" s="102">
        <f>-1765889/1000000</f>
        <v>-1.765889</v>
      </c>
      <c r="U29" s="102">
        <f t="shared" si="3"/>
        <v>54.023165999999996</v>
      </c>
      <c r="V29" s="102">
        <f>31272444/1000000</f>
        <v>31.272444</v>
      </c>
      <c r="W29" s="102">
        <f>52331527/1000000</f>
        <v>52.331527000000001</v>
      </c>
      <c r="X29" s="102">
        <f>16319130/1000000</f>
        <v>16.319130000000001</v>
      </c>
      <c r="Y29" s="102">
        <f>20499495/1000000</f>
        <v>20.499495</v>
      </c>
      <c r="Z29" s="102">
        <f>SUM(V29:Y29)</f>
        <v>120.422596</v>
      </c>
      <c r="AA29" s="102">
        <f>70488907/1000000</f>
        <v>70.488906999999998</v>
      </c>
      <c r="AB29" s="102">
        <f>28085106/1000000</f>
        <v>28.085106</v>
      </c>
      <c r="AC29" s="102">
        <f>42659611/1000000</f>
        <v>42.659610999999998</v>
      </c>
      <c r="AD29" s="102">
        <f>24659651/1000000</f>
        <v>24.659651</v>
      </c>
      <c r="AE29" s="102">
        <f>86025408/1000000</f>
        <v>86.025407999999999</v>
      </c>
      <c r="AF29" s="102">
        <f>78269063/1000000</f>
        <v>78.269063000000003</v>
      </c>
      <c r="AG29" s="102">
        <f>+BS_Non_Life!B29</f>
        <v>75.040024000000003</v>
      </c>
      <c r="AH29" s="102">
        <f>+BS_Non_Life!C29</f>
        <v>225.00554</v>
      </c>
      <c r="AI29" s="102">
        <f>+(15882771-9425)/1000000</f>
        <v>15.873346</v>
      </c>
      <c r="AJ29" s="102">
        <f>+BS_Non_Life!H29</f>
        <v>1354.8812050000001</v>
      </c>
    </row>
    <row r="30" spans="1:36" ht="10.9" customHeight="1" x14ac:dyDescent="0.2">
      <c r="A30" s="101" t="s">
        <v>141</v>
      </c>
      <c r="B30" s="102">
        <f>87869208/1000000</f>
        <v>87.869208</v>
      </c>
      <c r="C30" s="102">
        <f>235633452/1000000</f>
        <v>235.63345200000001</v>
      </c>
      <c r="D30" s="102">
        <f>350665926/1000000</f>
        <v>350.66592600000001</v>
      </c>
      <c r="E30" s="102">
        <f>48061565/1000000</f>
        <v>48.061565000000002</v>
      </c>
      <c r="F30" s="102">
        <f>SUM(B30:E30)</f>
        <v>722.23015099999998</v>
      </c>
      <c r="G30" s="102">
        <f>27261522/1000000</f>
        <v>27.261521999999999</v>
      </c>
      <c r="H30" s="102">
        <f>187626382/1000000</f>
        <v>187.62638200000001</v>
      </c>
      <c r="I30" s="102">
        <f>344267507/1000000</f>
        <v>344.26750700000002</v>
      </c>
      <c r="J30" s="102">
        <f>5635613/1000000</f>
        <v>5.6356130000000002</v>
      </c>
      <c r="K30" s="102">
        <f t="shared" si="1"/>
        <v>564.79102399999999</v>
      </c>
      <c r="L30" s="102">
        <f>7459309/1000000</f>
        <v>7.4593090000000002</v>
      </c>
      <c r="M30" s="102">
        <f>18377974/1000000</f>
        <v>18.377973999999998</v>
      </c>
      <c r="N30" s="102">
        <f>213987796/1000000</f>
        <v>213.987796</v>
      </c>
      <c r="O30" s="102">
        <f>7956832/1000000</f>
        <v>7.9568320000000003</v>
      </c>
      <c r="P30" s="102">
        <f t="shared" si="2"/>
        <v>247.78191100000001</v>
      </c>
      <c r="Q30" s="102">
        <f>907747/1000000</f>
        <v>0.90774699999999997</v>
      </c>
      <c r="R30" s="102">
        <f>14566654/1000000</f>
        <v>14.566654</v>
      </c>
      <c r="S30" s="102">
        <f>211638274/1000000</f>
        <v>211.638274</v>
      </c>
      <c r="T30" s="102">
        <f>171863/1000000</f>
        <v>0.17186299999999999</v>
      </c>
      <c r="U30" s="102">
        <f t="shared" si="3"/>
        <v>227.284538</v>
      </c>
      <c r="V30" s="102">
        <f>18255158/1000000</f>
        <v>18.255158000000002</v>
      </c>
      <c r="W30" s="102">
        <f>95273587/1000000</f>
        <v>95.273587000000006</v>
      </c>
      <c r="X30" s="102">
        <f>3585273/1000000</f>
        <v>3.5852729999999999</v>
      </c>
      <c r="Y30" s="102">
        <f>6144510/1000000</f>
        <v>6.1445100000000004</v>
      </c>
      <c r="Z30" s="102">
        <f t="shared" si="4"/>
        <v>123.25852800000001</v>
      </c>
      <c r="AA30" s="102">
        <f>156114027/1000000</f>
        <v>156.11402699999999</v>
      </c>
      <c r="AB30" s="102">
        <f>37119794/1000000</f>
        <v>37.119793999999999</v>
      </c>
      <c r="AC30" s="102">
        <f>49377800/1000000</f>
        <v>49.377800000000001</v>
      </c>
      <c r="AD30" s="102">
        <f>+(56479102+200000)/1000000</f>
        <v>56.679102</v>
      </c>
      <c r="AE30" s="102">
        <f>69693623/1000000</f>
        <v>69.693623000000002</v>
      </c>
      <c r="AF30" s="102">
        <f>56756292/1000000</f>
        <v>56.756292000000002</v>
      </c>
      <c r="AG30" s="102">
        <f>+BS_Non_Life!B30</f>
        <v>28.846982000000001</v>
      </c>
      <c r="AH30" s="102">
        <f>+BS_Non_Life!C30</f>
        <v>818.7</v>
      </c>
      <c r="AI30" s="102">
        <f>61672465/1000000</f>
        <v>61.672465000000003</v>
      </c>
      <c r="AJ30" s="102">
        <f>+BS_Non_Life!H30</f>
        <v>1592.3608730000001</v>
      </c>
    </row>
    <row r="31" spans="1:36" ht="10.9" customHeight="1" x14ac:dyDescent="0.2">
      <c r="A31" s="101" t="s">
        <v>142</v>
      </c>
      <c r="B31" s="102">
        <f>294970799/1000000</f>
        <v>294.970799</v>
      </c>
      <c r="C31" s="102">
        <f>155577635/1000000</f>
        <v>155.57763499999999</v>
      </c>
      <c r="D31" s="102">
        <f>197136067/1000000</f>
        <v>197.136067</v>
      </c>
      <c r="E31" s="102">
        <f>55335146/1000000</f>
        <v>55.335146000000002</v>
      </c>
      <c r="F31" s="102">
        <f t="shared" si="0"/>
        <v>703.01964699999996</v>
      </c>
      <c r="G31" s="102">
        <f>126814801/1000000</f>
        <v>126.814801</v>
      </c>
      <c r="H31" s="102">
        <f>114114577/1000000</f>
        <v>114.114577</v>
      </c>
      <c r="I31" s="102">
        <f>190057159/1000000</f>
        <v>190.05715900000001</v>
      </c>
      <c r="J31" s="102">
        <f>8813462/1000000</f>
        <v>8.8134619999999995</v>
      </c>
      <c r="K31" s="102">
        <f t="shared" si="1"/>
        <v>439.79999900000001</v>
      </c>
      <c r="L31" s="102">
        <f>111225861/1000000</f>
        <v>111.22586099999999</v>
      </c>
      <c r="M31" s="102">
        <f>37767278/1000000</f>
        <v>37.767277999999997</v>
      </c>
      <c r="N31" s="102">
        <f>73982108/1000000</f>
        <v>73.982107999999997</v>
      </c>
      <c r="O31" s="102">
        <f>222985/1000000</f>
        <v>0.22298499999999999</v>
      </c>
      <c r="P31" s="102">
        <f t="shared" si="2"/>
        <v>223.19823199999996</v>
      </c>
      <c r="Q31" s="102">
        <f>73349941/1000000</f>
        <v>73.349941000000001</v>
      </c>
      <c r="R31" s="102">
        <f>29109712/1000000</f>
        <v>29.109711999999998</v>
      </c>
      <c r="S31" s="102">
        <f>70014195/1000000</f>
        <v>70.014195000000001</v>
      </c>
      <c r="T31" s="102">
        <f>187377/1000000</f>
        <v>0.18737699999999999</v>
      </c>
      <c r="U31" s="102">
        <f t="shared" si="3"/>
        <v>172.661225</v>
      </c>
      <c r="V31" s="102">
        <f>-44762915/1000000</f>
        <v>-44.762915</v>
      </c>
      <c r="W31" s="102">
        <f>29173571/1000000</f>
        <v>29.173570999999999</v>
      </c>
      <c r="X31" s="102">
        <f>22920902/1000000</f>
        <v>22.920902000000002</v>
      </c>
      <c r="Y31" s="102">
        <f>3827097/1000000</f>
        <v>3.8270970000000002</v>
      </c>
      <c r="Z31" s="102">
        <f t="shared" si="4"/>
        <v>11.158655000000001</v>
      </c>
      <c r="AA31" s="102">
        <f>94601820/1000000</f>
        <v>94.601820000000004</v>
      </c>
      <c r="AB31" s="102">
        <f>22558344/1000000</f>
        <v>22.558344000000002</v>
      </c>
      <c r="AC31" s="102">
        <v>0</v>
      </c>
      <c r="AD31" s="102">
        <f>+(43980000+500000)/1000000</f>
        <v>44.48</v>
      </c>
      <c r="AE31" s="102">
        <f>29467052/1000000</f>
        <v>29.467051999999999</v>
      </c>
      <c r="AF31" s="102">
        <f>1903576/1000000</f>
        <v>1.9035759999999999</v>
      </c>
      <c r="AG31" s="102">
        <f>+BS_Non_Life!B31</f>
        <v>66.968418</v>
      </c>
      <c r="AH31" s="102">
        <f>+BS_Non_Life!C31</f>
        <v>1007.081</v>
      </c>
      <c r="AI31" s="102">
        <f>+(58923678+44257647+3233725-1345848)/1000000</f>
        <v>105.069202</v>
      </c>
      <c r="AJ31" s="102">
        <f>+BS_Non_Life!H31</f>
        <v>2213.460752</v>
      </c>
    </row>
    <row r="32" spans="1:36" ht="10.9" customHeight="1" x14ac:dyDescent="0.2">
      <c r="A32" s="101" t="s">
        <v>143</v>
      </c>
      <c r="B32" s="102">
        <f>+(855141575+8851645)/1000000</f>
        <v>863.99321999999995</v>
      </c>
      <c r="C32" s="102">
        <f>+(755645788+15940740)/1000000</f>
        <v>771.58652800000004</v>
      </c>
      <c r="D32" s="102">
        <f>+(250408604+2502156)/1000000</f>
        <v>252.91076000000001</v>
      </c>
      <c r="E32" s="102">
        <f>+(125396629+39554497)/1000000</f>
        <v>164.95112599999999</v>
      </c>
      <c r="F32" s="102">
        <f t="shared" si="0"/>
        <v>2053.4416340000002</v>
      </c>
      <c r="G32" s="102">
        <f>177271181/1000000</f>
        <v>177.27118100000001</v>
      </c>
      <c r="H32" s="102">
        <f>350762240/1000000</f>
        <v>350.76224000000002</v>
      </c>
      <c r="I32" s="102">
        <f>221788152/1000000</f>
        <v>221.788152</v>
      </c>
      <c r="J32" s="102">
        <f>67333308/1000000</f>
        <v>67.333308000000002</v>
      </c>
      <c r="K32" s="102">
        <f t="shared" si="1"/>
        <v>817.15488100000005</v>
      </c>
      <c r="L32" s="102">
        <f>+(314189094+1432336)/1000000</f>
        <v>315.62142999999998</v>
      </c>
      <c r="M32" s="102">
        <f>+(92990918+529570)/1000000</f>
        <v>93.520488</v>
      </c>
      <c r="N32" s="102">
        <f>+(45523851+129939)/1000000</f>
        <v>45.653790000000001</v>
      </c>
      <c r="O32" s="102">
        <f>+(34132991+7873129)/1000000</f>
        <v>42.006120000000003</v>
      </c>
      <c r="P32" s="102">
        <f>SUM(L32:O32)</f>
        <v>496.801828</v>
      </c>
      <c r="Q32" s="102">
        <f>4282023/1000000</f>
        <v>4.2820229999999997</v>
      </c>
      <c r="R32" s="102">
        <f>32697408/1000000</f>
        <v>32.697408000000003</v>
      </c>
      <c r="S32" s="102">
        <f>42763035/1000000</f>
        <v>42.763035000000002</v>
      </c>
      <c r="T32" s="102">
        <f>8551722/1000000</f>
        <v>8.5517219999999998</v>
      </c>
      <c r="U32" s="102">
        <f t="shared" si="3"/>
        <v>88.294188000000005</v>
      </c>
      <c r="V32" s="102">
        <f>-25077546/1000000</f>
        <v>-25.077546000000002</v>
      </c>
      <c r="W32" s="102">
        <f>72311026/1000000</f>
        <v>72.311025999999998</v>
      </c>
      <c r="X32" s="102">
        <f>84157670/1000000</f>
        <v>84.157669999999996</v>
      </c>
      <c r="Y32" s="102">
        <f>25704815/1000000</f>
        <v>25.704815</v>
      </c>
      <c r="Z32" s="102">
        <f t="shared" si="4"/>
        <v>157.09596499999998</v>
      </c>
      <c r="AA32" s="102">
        <f>185121643/1000000</f>
        <v>185.12164300000001</v>
      </c>
      <c r="AB32" s="102">
        <f>51500000/1000000</f>
        <v>51.5</v>
      </c>
      <c r="AC32" s="102">
        <f>75894461/1000000</f>
        <v>75.894461000000007</v>
      </c>
      <c r="AD32" s="102">
        <f>69458165/1000000</f>
        <v>69.458164999999994</v>
      </c>
      <c r="AE32" s="102">
        <f>128368251/1000000</f>
        <v>128.36825099999999</v>
      </c>
      <c r="AF32" s="102">
        <f>117789414/1000000</f>
        <v>117.78941399999999</v>
      </c>
      <c r="AG32" s="102">
        <f>+BS_Non_Life!B32</f>
        <v>388.652536</v>
      </c>
      <c r="AH32" s="102">
        <f>+BS_Non_Life!C32</f>
        <v>440.12684999999999</v>
      </c>
      <c r="AI32" s="102">
        <f>125983481/1000000</f>
        <v>125.983481</v>
      </c>
      <c r="AJ32" s="102">
        <f>+BS_Non_Life!H32</f>
        <v>4546.1548220000004</v>
      </c>
    </row>
    <row r="33" spans="1:36" ht="10.9" customHeight="1" x14ac:dyDescent="0.2">
      <c r="A33" s="101" t="s">
        <v>144</v>
      </c>
      <c r="B33" s="102">
        <f>+(283621309+9069177)/1000000</f>
        <v>292.69048600000002</v>
      </c>
      <c r="C33" s="102">
        <f>+(259619668+10235398+10859429+285689)/1000000</f>
        <v>281.00018399999999</v>
      </c>
      <c r="D33" s="102">
        <f>+(93638541+2537854)/1000000</f>
        <v>96.176394999999999</v>
      </c>
      <c r="E33" s="102">
        <f>+(68853195+20625793)/1000000</f>
        <v>89.478988000000001</v>
      </c>
      <c r="F33" s="102">
        <f t="shared" si="0"/>
        <v>759.34605299999987</v>
      </c>
      <c r="G33" s="102">
        <f>101793873/1000000</f>
        <v>101.793873</v>
      </c>
      <c r="H33" s="102">
        <f>+(209138841+1311013)/1000000</f>
        <v>210.44985399999999</v>
      </c>
      <c r="I33" s="102">
        <f>94153214/1000000</f>
        <v>94.153214000000006</v>
      </c>
      <c r="J33" s="102">
        <f>32148612/1000000</f>
        <v>32.148612</v>
      </c>
      <c r="K33" s="102">
        <f t="shared" si="1"/>
        <v>438.54555299999998</v>
      </c>
      <c r="L33" s="102">
        <f>+(94380072+839321)/1000000</f>
        <v>95.219392999999997</v>
      </c>
      <c r="M33" s="102">
        <f>+(13113763+316980+2000000+27722)/1000000</f>
        <v>15.458465</v>
      </c>
      <c r="N33" s="102">
        <f>13801539/1000000</f>
        <v>13.801539</v>
      </c>
      <c r="O33" s="102">
        <f>+(648520+75040)/1000000</f>
        <v>0.72355999999999998</v>
      </c>
      <c r="P33" s="102">
        <f t="shared" si="2"/>
        <v>125.20295700000001</v>
      </c>
      <c r="Q33" s="102">
        <f>22622880/1000000</f>
        <v>22.622879999999999</v>
      </c>
      <c r="R33" s="102">
        <f>+(12593462+1089301)/1000000</f>
        <v>13.682763</v>
      </c>
      <c r="S33" s="102">
        <f>13801539/1000000</f>
        <v>13.801539</v>
      </c>
      <c r="T33" s="102">
        <f>-2950510/1000000</f>
        <v>-2.95051</v>
      </c>
      <c r="U33" s="102">
        <f>SUM(Q33:T33)</f>
        <v>47.156671999999993</v>
      </c>
      <c r="V33" s="102">
        <f>-1717756/1000000</f>
        <v>-1.7177560000000001</v>
      </c>
      <c r="W33" s="102">
        <f>59394191/1000000</f>
        <v>59.394190999999999</v>
      </c>
      <c r="X33" s="102">
        <f>35545687/1000000</f>
        <v>35.545687000000001</v>
      </c>
      <c r="Y33" s="102">
        <f>-11467124/1000000</f>
        <v>-11.467124</v>
      </c>
      <c r="Z33" s="102">
        <f t="shared" si="4"/>
        <v>81.754998000000001</v>
      </c>
      <c r="AA33" s="102">
        <f>103091995/1000000</f>
        <v>103.091995</v>
      </c>
      <c r="AB33" s="102">
        <f>23173476/1000000</f>
        <v>23.173476000000001</v>
      </c>
      <c r="AC33" s="102">
        <f>64546515/1000000</f>
        <v>64.546514999999999</v>
      </c>
      <c r="AD33" s="102">
        <f>43854555/1000000</f>
        <v>43.854554999999998</v>
      </c>
      <c r="AE33" s="102">
        <f>65393014/1000000</f>
        <v>65.393013999999994</v>
      </c>
      <c r="AF33" s="102">
        <f>69177764/1000000</f>
        <v>69.177763999999996</v>
      </c>
      <c r="AG33" s="102">
        <f>+BS_Non_Life!B33</f>
        <v>713.94797600000004</v>
      </c>
      <c r="AH33" s="102">
        <f>+BS_Non_Life!C33</f>
        <v>264.80769199999997</v>
      </c>
      <c r="AI33" s="102">
        <f>+(15634757+36845605+16631897)/1000000</f>
        <v>69.112258999999995</v>
      </c>
      <c r="AJ33" s="102">
        <f>+BS_Non_Life!H33</f>
        <v>2211.5679770000002</v>
      </c>
    </row>
    <row r="34" spans="1:36" s="9" customFormat="1" ht="10.9" customHeight="1" x14ac:dyDescent="0.2">
      <c r="A34" s="104" t="s">
        <v>145</v>
      </c>
      <c r="B34" s="105">
        <f>13021623/1000000</f>
        <v>13.021623</v>
      </c>
      <c r="C34" s="105">
        <f>+(18106574+191163)/1000000</f>
        <v>18.297737000000001</v>
      </c>
      <c r="D34" s="105">
        <f>6620671/1000000</f>
        <v>6.6206709999999998</v>
      </c>
      <c r="E34" s="105">
        <f>40303970/1000000</f>
        <v>40.30397</v>
      </c>
      <c r="F34" s="105">
        <f t="shared" si="0"/>
        <v>78.244000999999997</v>
      </c>
      <c r="G34" s="105">
        <f>3100008/1000000</f>
        <v>3.1000079999999999</v>
      </c>
      <c r="H34" s="105">
        <f>+(6239134+41679)/1000000</f>
        <v>6.2808130000000002</v>
      </c>
      <c r="I34" s="105">
        <f>6407418/1000000</f>
        <v>6.4074179999999998</v>
      </c>
      <c r="J34" s="105">
        <f>1111922/1000000</f>
        <v>1.1119220000000001</v>
      </c>
      <c r="K34" s="105">
        <f t="shared" si="1"/>
        <v>16.900161000000001</v>
      </c>
      <c r="L34" s="105">
        <f>1489577/1000000</f>
        <v>1.4895769999999999</v>
      </c>
      <c r="M34" s="105">
        <f>+(390326+173419)/1000000</f>
        <v>0.56374500000000005</v>
      </c>
      <c r="N34" s="105">
        <f>130347/1000000</f>
        <v>0.13034699999999999</v>
      </c>
      <c r="O34" s="105">
        <f>7881926/1000000</f>
        <v>7.881926</v>
      </c>
      <c r="P34" s="105">
        <f t="shared" si="2"/>
        <v>10.065595</v>
      </c>
      <c r="Q34" s="105">
        <f>468316/1000000</f>
        <v>0.46831600000000001</v>
      </c>
      <c r="R34" s="105">
        <f>+(346086+22108)/1000000</f>
        <v>0.36819400000000002</v>
      </c>
      <c r="S34" s="105">
        <f>130347/1000000</f>
        <v>0.13034699999999999</v>
      </c>
      <c r="T34" s="105">
        <f>178476/1000000</f>
        <v>0.178476</v>
      </c>
      <c r="U34" s="105">
        <f t="shared" si="3"/>
        <v>1.1453330000000002</v>
      </c>
      <c r="V34" s="105">
        <f>-6747/1000000</f>
        <v>-6.7470000000000004E-3</v>
      </c>
      <c r="W34" s="105">
        <f>+(2137174+74160)/1000000</f>
        <v>2.2113339999999999</v>
      </c>
      <c r="X34" s="105">
        <f>486908/1000000</f>
        <v>0.48690800000000001</v>
      </c>
      <c r="Y34" s="105">
        <f>2189933/1000000</f>
        <v>2.1899329999999999</v>
      </c>
      <c r="Z34" s="105">
        <f t="shared" si="4"/>
        <v>4.8814279999999997</v>
      </c>
      <c r="AA34" s="105">
        <f>83313065/1000000</f>
        <v>83.313064999999995</v>
      </c>
      <c r="AB34" s="105">
        <f>24730494/1000000</f>
        <v>24.730494</v>
      </c>
      <c r="AC34" s="105">
        <v>0</v>
      </c>
      <c r="AD34" s="105">
        <f>1690016/1000000</f>
        <v>1.690016</v>
      </c>
      <c r="AE34" s="105">
        <f>146012100/1000000</f>
        <v>146.0121</v>
      </c>
      <c r="AF34" s="105">
        <f>148725458/1000000</f>
        <v>148.725458</v>
      </c>
      <c r="AG34" s="105">
        <f>+BS_Non_Life!B34</f>
        <v>39.643065</v>
      </c>
      <c r="AH34" s="105">
        <f>+BS_Non_Life!C34</f>
        <v>604.4</v>
      </c>
      <c r="AI34" s="105">
        <f>+(60460839+3758030+16995358)/1000000</f>
        <v>81.214226999999994</v>
      </c>
      <c r="AJ34" s="105">
        <f>+BS_Non_Life!H34</f>
        <v>1021.8372219999999</v>
      </c>
    </row>
    <row r="35" spans="1:36" ht="10.9" customHeight="1" x14ac:dyDescent="0.2">
      <c r="A35" s="104" t="s">
        <v>146</v>
      </c>
      <c r="B35" s="102">
        <f>+(215124482+8851645)/1000000</f>
        <v>223.97612699999999</v>
      </c>
      <c r="C35" s="102">
        <f>+(125432160+15751307+189433)/1000000</f>
        <v>141.37289999999999</v>
      </c>
      <c r="D35" s="102">
        <f>+(56800177+2502156)/1000000</f>
        <v>59.302332999999997</v>
      </c>
      <c r="E35" s="102">
        <f>+(21218224+39554497)/1000000</f>
        <v>60.772720999999997</v>
      </c>
      <c r="F35" s="102">
        <f t="shared" si="0"/>
        <v>485.42408099999994</v>
      </c>
      <c r="G35" s="102">
        <f>183698314/1000000</f>
        <v>183.69831400000001</v>
      </c>
      <c r="H35" s="102">
        <f>+(114869595+39948)/1000000</f>
        <v>114.909543</v>
      </c>
      <c r="I35" s="102">
        <f>59113726/1000000</f>
        <v>59.113726</v>
      </c>
      <c r="J35" s="102">
        <f>21422264/1000000</f>
        <v>21.422263999999998</v>
      </c>
      <c r="K35" s="102">
        <f t="shared" si="1"/>
        <v>379.14384699999999</v>
      </c>
      <c r="L35" s="102">
        <f>+(151540742+468316)/1000000</f>
        <v>152.00905800000001</v>
      </c>
      <c r="M35" s="102">
        <f>+(40782147+378190-15356)/1000000</f>
        <v>41.144981000000001</v>
      </c>
      <c r="N35" s="102">
        <f>+(2984985+130347)/1000000</f>
        <v>3.115332</v>
      </c>
      <c r="O35" s="102">
        <f>7868275/1000000</f>
        <v>7.8682749999999997</v>
      </c>
      <c r="P35" s="102">
        <f t="shared" si="2"/>
        <v>204.13764600000002</v>
      </c>
      <c r="Q35" s="102">
        <f>152009058/1000000</f>
        <v>152.00905800000001</v>
      </c>
      <c r="R35" s="102">
        <f>+(35651416-15356)/1000000</f>
        <v>35.636060000000001</v>
      </c>
      <c r="S35" s="102">
        <f>3115332/1000000</f>
        <v>3.115332</v>
      </c>
      <c r="T35" s="102">
        <f>164825/1000000</f>
        <v>0.164825</v>
      </c>
      <c r="U35" s="102">
        <f t="shared" si="3"/>
        <v>190.92527500000003</v>
      </c>
      <c r="V35" s="102">
        <f>70247170/1000000</f>
        <v>70.247169999999997</v>
      </c>
      <c r="W35" s="102">
        <f>+(-35245398+146388)/1000000</f>
        <v>-35.09901</v>
      </c>
      <c r="X35" s="102">
        <f>17407432/1000000</f>
        <v>17.407432</v>
      </c>
      <c r="Y35" s="102">
        <f>690923/1000000</f>
        <v>0.69092299999999995</v>
      </c>
      <c r="Z35" s="102">
        <f t="shared" si="4"/>
        <v>53.246514999999995</v>
      </c>
      <c r="AA35" s="102">
        <f>69705384/1000000</f>
        <v>69.705383999999995</v>
      </c>
      <c r="AB35" s="102">
        <f>17022257/1000000</f>
        <v>17.022257</v>
      </c>
      <c r="AC35" s="102">
        <f>29702504/1000000</f>
        <v>29.702504000000001</v>
      </c>
      <c r="AD35" s="102">
        <f>23431090/1000000</f>
        <v>23.431090000000001</v>
      </c>
      <c r="AE35" s="102">
        <f>31575194/1000000</f>
        <v>31.575194</v>
      </c>
      <c r="AF35" s="102">
        <f>32917249/1000000</f>
        <v>32.917248999999998</v>
      </c>
      <c r="AG35" s="102">
        <f>+BS_Non_Life!B35</f>
        <v>36.352113000000003</v>
      </c>
      <c r="AH35" s="102">
        <f>+BS_Non_Life!C35</f>
        <v>353.49126100000001</v>
      </c>
      <c r="AI35" s="102">
        <f>+(399999+25814629+3337430+45000)/1000000</f>
        <v>29.597058000000001</v>
      </c>
      <c r="AJ35" s="102">
        <f>+BS_Non_Life!H35</f>
        <v>935.37510599999996</v>
      </c>
    </row>
    <row r="36" spans="1:36" ht="10.9" customHeight="1" x14ac:dyDescent="0.2">
      <c r="A36" s="104" t="s">
        <v>147</v>
      </c>
      <c r="B36" s="102">
        <f>313246512/1000000</f>
        <v>313.246512</v>
      </c>
      <c r="C36" s="102">
        <f>200536586/1000000</f>
        <v>200.536586</v>
      </c>
      <c r="D36" s="102">
        <f>43219460/1000000</f>
        <v>43.219459999999998</v>
      </c>
      <c r="E36" s="102">
        <f>125832624/1000000</f>
        <v>125.832624</v>
      </c>
      <c r="F36" s="102">
        <f t="shared" si="0"/>
        <v>682.83518200000003</v>
      </c>
      <c r="G36" s="102">
        <f>62374207/1000000</f>
        <v>62.374206999999998</v>
      </c>
      <c r="H36" s="102">
        <f>112282256/1000000</f>
        <v>112.282256</v>
      </c>
      <c r="I36" s="102">
        <f>40676101/1000000</f>
        <v>40.676101000000003</v>
      </c>
      <c r="J36" s="102">
        <f>25931589/1000000</f>
        <v>25.931588999999999</v>
      </c>
      <c r="K36" s="102">
        <f t="shared" si="1"/>
        <v>241.26415299999999</v>
      </c>
      <c r="L36" s="102">
        <f>130581856/1000000</f>
        <v>130.58185599999999</v>
      </c>
      <c r="M36" s="102">
        <f>9402399/1000000</f>
        <v>9.4023990000000008</v>
      </c>
      <c r="N36" s="102">
        <f>4455491/1000000</f>
        <v>4.4554910000000003</v>
      </c>
      <c r="O36" s="102">
        <f>29265015/1000000</f>
        <v>29.265014999999998</v>
      </c>
      <c r="P36" s="102">
        <f t="shared" si="2"/>
        <v>173.70476099999999</v>
      </c>
      <c r="Q36" s="102">
        <f>2029597/1000000</f>
        <v>2.0295969999999999</v>
      </c>
      <c r="R36" s="102">
        <f>-6514335/1000000</f>
        <v>-6.514335</v>
      </c>
      <c r="S36" s="102">
        <f>-1394417/1000000</f>
        <v>-1.394417</v>
      </c>
      <c r="T36" s="102">
        <f>-296502/1000000</f>
        <v>-0.29650199999999999</v>
      </c>
      <c r="U36" s="102">
        <f t="shared" si="3"/>
        <v>-6.1756570000000002</v>
      </c>
      <c r="V36" s="102">
        <f>-19095369/1000000</f>
        <v>-19.095369000000002</v>
      </c>
      <c r="W36" s="102">
        <f>+(86985451+283609)/1000000</f>
        <v>87.269059999999996</v>
      </c>
      <c r="X36" s="102">
        <f>31804137/1000000</f>
        <v>31.804137000000001</v>
      </c>
      <c r="Y36" s="102">
        <f>1757023/1000000</f>
        <v>1.757023</v>
      </c>
      <c r="Z36" s="102">
        <f t="shared" si="4"/>
        <v>101.73485099999999</v>
      </c>
      <c r="AA36" s="102">
        <f>45867601/1000000</f>
        <v>45.867601000000001</v>
      </c>
      <c r="AB36" s="102">
        <f>29496201/1000000</f>
        <v>29.496200999999999</v>
      </c>
      <c r="AC36" s="102">
        <f>61316247/1000000</f>
        <v>61.316246999999997</v>
      </c>
      <c r="AD36" s="102">
        <f>+(18094811+500000)/1000000</f>
        <v>18.594811</v>
      </c>
      <c r="AE36" s="102">
        <f>42635860/1000000</f>
        <v>42.635860000000001</v>
      </c>
      <c r="AF36" s="102">
        <f>76679316/1000000</f>
        <v>76.679316</v>
      </c>
      <c r="AG36" s="102">
        <f>+BS_Non_Life!B36</f>
        <v>161.12257399999999</v>
      </c>
      <c r="AH36" s="102">
        <f>+BS_Non_Life!C36</f>
        <v>86.4</v>
      </c>
      <c r="AI36" s="102">
        <f>-990669/1000000</f>
        <v>-0.99066900000000002</v>
      </c>
      <c r="AJ36" s="102">
        <f>+BS_Non_Life!H36</f>
        <v>1303.9748959999999</v>
      </c>
    </row>
    <row r="37" spans="1:36" ht="10.9" customHeight="1" x14ac:dyDescent="0.2">
      <c r="A37" s="101" t="s">
        <v>148</v>
      </c>
      <c r="B37" s="102">
        <f>+(1369663090+2809149)/1000000</f>
        <v>1372.4722389999999</v>
      </c>
      <c r="C37" s="102">
        <f>+(914518967+4759320)/1000000</f>
        <v>919.27828699999998</v>
      </c>
      <c r="D37" s="102">
        <f>+(326576495+139855)/1000000</f>
        <v>326.71634999999998</v>
      </c>
      <c r="E37" s="102">
        <f>+(324377659+1916035)/1000000</f>
        <v>326.29369400000002</v>
      </c>
      <c r="F37" s="102">
        <f t="shared" si="0"/>
        <v>2944.7605699999999</v>
      </c>
      <c r="G37" s="102">
        <f>638601268/1000000</f>
        <v>638.601268</v>
      </c>
      <c r="H37" s="102">
        <f>550181860/1000000</f>
        <v>550.18186000000003</v>
      </c>
      <c r="I37" s="102">
        <f>320881403/1000000</f>
        <v>320.88140299999998</v>
      </c>
      <c r="J37" s="102">
        <f>117020943/1000000</f>
        <v>117.020943</v>
      </c>
      <c r="K37" s="102">
        <f t="shared" si="1"/>
        <v>1626.6854739999999</v>
      </c>
      <c r="L37" s="102">
        <f>382264434/1000000</f>
        <v>382.26443399999999</v>
      </c>
      <c r="M37" s="102">
        <f>171489453/1000000</f>
        <v>171.489453</v>
      </c>
      <c r="N37" s="102">
        <f>54369631/1000000</f>
        <v>54.369630999999998</v>
      </c>
      <c r="O37" s="102">
        <f>+(13469769+31054)/1000000</f>
        <v>13.500823</v>
      </c>
      <c r="P37" s="102">
        <f t="shared" si="2"/>
        <v>621.62434099999996</v>
      </c>
      <c r="Q37" s="102">
        <f>243887980/1000000</f>
        <v>243.88798</v>
      </c>
      <c r="R37" s="102">
        <f>89024583/1000000</f>
        <v>89.024583000000007</v>
      </c>
      <c r="S37" s="102">
        <f>52966923/1000000</f>
        <v>52.966923000000001</v>
      </c>
      <c r="T37" s="102">
        <f>10561713/1000000</f>
        <v>10.561712999999999</v>
      </c>
      <c r="U37" s="102">
        <f t="shared" si="3"/>
        <v>396.44119899999998</v>
      </c>
      <c r="V37" s="102">
        <f>-141772216/1000000</f>
        <v>-141.77221599999999</v>
      </c>
      <c r="W37" s="102">
        <f>231739403/1000000</f>
        <v>231.73940300000001</v>
      </c>
      <c r="X37" s="102">
        <f>164996866/1000000</f>
        <v>164.99686600000001</v>
      </c>
      <c r="Y37" s="102">
        <f>29525725/1000000</f>
        <v>29.525725000000001</v>
      </c>
      <c r="Z37" s="102">
        <f t="shared" si="4"/>
        <v>284.48977800000006</v>
      </c>
      <c r="AA37" s="102">
        <f>332619021/1000000</f>
        <v>332.61902099999998</v>
      </c>
      <c r="AB37" s="102">
        <f>65000000/1000000</f>
        <v>65</v>
      </c>
      <c r="AC37" s="102">
        <v>0</v>
      </c>
      <c r="AD37" s="102">
        <f>159478074/1000000</f>
        <v>159.47807399999999</v>
      </c>
      <c r="AE37" s="102">
        <f>132847341/1000000</f>
        <v>132.847341</v>
      </c>
      <c r="AF37" s="102">
        <f>24940377/1000000</f>
        <v>24.940377000000002</v>
      </c>
      <c r="AG37" s="102">
        <f>+BS_Non_Life!B37</f>
        <v>1763.0968989999999</v>
      </c>
      <c r="AH37" s="102">
        <f>+BS_Non_Life!C37</f>
        <v>939.66493300000002</v>
      </c>
      <c r="AI37" s="102">
        <f>86534589/1000000</f>
        <v>86.534588999999997</v>
      </c>
      <c r="AJ37" s="102">
        <f>+BS_Non_Life!H37</f>
        <v>4495.9773620000005</v>
      </c>
    </row>
    <row r="38" spans="1:36" s="8" customFormat="1" ht="10.9" customHeight="1" x14ac:dyDescent="0.2">
      <c r="A38" s="101" t="s">
        <v>149</v>
      </c>
      <c r="B38" s="102">
        <f>124412566/1000000</f>
        <v>124.412566</v>
      </c>
      <c r="C38" s="102">
        <f>+(54668766+5670046)/1000000</f>
        <v>60.338811999999997</v>
      </c>
      <c r="D38" s="102">
        <f>+(30316889)/1000000</f>
        <v>30.316889</v>
      </c>
      <c r="E38" s="102">
        <f>45356793/1000000</f>
        <v>45.356793000000003</v>
      </c>
      <c r="F38" s="102">
        <f t="shared" si="0"/>
        <v>260.42505999999997</v>
      </c>
      <c r="G38" s="102">
        <f>38502968/1000000</f>
        <v>38.502968000000003</v>
      </c>
      <c r="H38" s="102">
        <f>+(36479830+256981)/1000000</f>
        <v>36.736811000000003</v>
      </c>
      <c r="I38" s="102">
        <f>29583448/1000000</f>
        <v>29.583448000000001</v>
      </c>
      <c r="J38" s="102">
        <f>9043698/1000000</f>
        <v>9.0436979999999991</v>
      </c>
      <c r="K38" s="102">
        <f t="shared" si="1"/>
        <v>113.86692500000001</v>
      </c>
      <c r="L38" s="102">
        <f>4914319/1000000</f>
        <v>4.9143189999999999</v>
      </c>
      <c r="M38" s="102">
        <f>+(20882280+7881947)/1000000</f>
        <v>28.764227000000002</v>
      </c>
      <c r="N38" s="102">
        <f>8955070/1000000</f>
        <v>8.9550699999999992</v>
      </c>
      <c r="O38" s="102">
        <f>159748/1000000</f>
        <v>0.159748</v>
      </c>
      <c r="P38" s="102">
        <f t="shared" si="2"/>
        <v>42.793364000000004</v>
      </c>
      <c r="Q38" s="102">
        <f>4872908/1000000</f>
        <v>4.8729079999999998</v>
      </c>
      <c r="R38" s="102">
        <f>+(15491718+162310)/1000000</f>
        <v>15.654028</v>
      </c>
      <c r="S38" s="102">
        <f>8955070/1000000</f>
        <v>8.9550699999999992</v>
      </c>
      <c r="T38" s="102">
        <f>36734/1000000</f>
        <v>3.6734000000000003E-2</v>
      </c>
      <c r="U38" s="102">
        <f t="shared" si="3"/>
        <v>29.518739999999998</v>
      </c>
      <c r="V38" s="102">
        <f>-14236779/1000000</f>
        <v>-14.236779</v>
      </c>
      <c r="W38" s="102">
        <f>9615421/1000000</f>
        <v>9.6154209999999996</v>
      </c>
      <c r="X38" s="102">
        <f>5239667/1000000</f>
        <v>5.2396669999999999</v>
      </c>
      <c r="Y38" s="102">
        <f>5411313/1000000</f>
        <v>5.4113129999999998</v>
      </c>
      <c r="Z38" s="102">
        <f t="shared" si="4"/>
        <v>6.0296219999999989</v>
      </c>
      <c r="AA38" s="102">
        <f>19696890/1000000</f>
        <v>19.69689</v>
      </c>
      <c r="AB38" s="102">
        <f>+(2625692-267430)/1000000</f>
        <v>2.3582619999999999</v>
      </c>
      <c r="AC38" s="102">
        <f>28764510/1000000</f>
        <v>28.764510000000001</v>
      </c>
      <c r="AD38" s="102">
        <f>+(11386692+500000)/1000000</f>
        <v>11.886692</v>
      </c>
      <c r="AE38" s="102">
        <f>6438070/1000000</f>
        <v>6.4380699999999997</v>
      </c>
      <c r="AF38" s="102">
        <f>29750024/1000000</f>
        <v>29.750024</v>
      </c>
      <c r="AG38" s="102">
        <f>+BS_Non_Life!B38</f>
        <v>54.587054000000002</v>
      </c>
      <c r="AH38" s="102">
        <f>+BS_Non_Life!C38</f>
        <v>307.53208699999999</v>
      </c>
      <c r="AI38" s="102">
        <f>1821803/1000000</f>
        <v>1.8218030000000001</v>
      </c>
      <c r="AJ38" s="102">
        <f>+BS_Non_Life!H38</f>
        <v>715.91454399999998</v>
      </c>
    </row>
    <row r="39" spans="1:36" ht="10.9" customHeight="1" x14ac:dyDescent="0.2">
      <c r="A39" s="101" t="s">
        <v>150</v>
      </c>
      <c r="B39" s="102">
        <f>1339625744/1000000</f>
        <v>1339.6257439999999</v>
      </c>
      <c r="C39" s="102">
        <f>804318739/1000000</f>
        <v>804.31873900000005</v>
      </c>
      <c r="D39" s="102">
        <f>243237123/1000000</f>
        <v>243.237123</v>
      </c>
      <c r="E39" s="102">
        <f>299079742/1000000</f>
        <v>299.07974200000001</v>
      </c>
      <c r="F39" s="102">
        <f t="shared" si="0"/>
        <v>2686.261348</v>
      </c>
      <c r="G39" s="102">
        <f>381347318/1000000</f>
        <v>381.34731799999997</v>
      </c>
      <c r="H39" s="102">
        <f>599441634/1000000</f>
        <v>599.44163400000002</v>
      </c>
      <c r="I39" s="102">
        <f>240387321/1000000</f>
        <v>240.38732099999999</v>
      </c>
      <c r="J39" s="102">
        <f>91315122/1000000</f>
        <v>91.315122000000002</v>
      </c>
      <c r="K39" s="102">
        <f t="shared" si="1"/>
        <v>1312.491395</v>
      </c>
      <c r="L39" s="102">
        <f>189575702/1000000</f>
        <v>189.57570200000001</v>
      </c>
      <c r="M39" s="102">
        <f>94679140/1000000</f>
        <v>94.679140000000004</v>
      </c>
      <c r="N39" s="102">
        <f>56863336/1000000</f>
        <v>56.863335999999997</v>
      </c>
      <c r="O39" s="102">
        <f>41463618/1000000</f>
        <v>41.463617999999997</v>
      </c>
      <c r="P39" s="102">
        <f t="shared" si="2"/>
        <v>382.581796</v>
      </c>
      <c r="Q39" s="102">
        <f>23937966/1000000</f>
        <v>23.937965999999999</v>
      </c>
      <c r="R39" s="102">
        <f>65620752/1000000</f>
        <v>65.620751999999996</v>
      </c>
      <c r="S39" s="102">
        <f>56863336/1000000</f>
        <v>56.863335999999997</v>
      </c>
      <c r="T39" s="102">
        <f>33760167/1000000</f>
        <v>33.760167000000003</v>
      </c>
      <c r="U39" s="102">
        <f t="shared" si="3"/>
        <v>180.182221</v>
      </c>
      <c r="V39" s="102">
        <f>-46065413/1000000</f>
        <v>-46.065412999999999</v>
      </c>
      <c r="W39" s="102">
        <f>357323104/1000000</f>
        <v>357.323104</v>
      </c>
      <c r="X39" s="102">
        <f>102747735/1000000</f>
        <v>102.74773500000001</v>
      </c>
      <c r="Y39" s="102">
        <f>2009307/1000000</f>
        <v>2.0093070000000002</v>
      </c>
      <c r="Z39" s="102">
        <f t="shared" si="4"/>
        <v>416.01473300000004</v>
      </c>
      <c r="AA39" s="102">
        <f>498131153/1000000</f>
        <v>498.13115299999998</v>
      </c>
      <c r="AB39" s="102">
        <v>0</v>
      </c>
      <c r="AC39" s="102">
        <f>217274970/1000000</f>
        <v>217.27497</v>
      </c>
      <c r="AD39" s="102">
        <f>131249139/1000000</f>
        <v>131.24913900000001</v>
      </c>
      <c r="AE39" s="102">
        <f>741053301/1000000</f>
        <v>741.05330100000003</v>
      </c>
      <c r="AF39" s="102">
        <f>591446257/1000000</f>
        <v>591.44625699999995</v>
      </c>
      <c r="AG39" s="102">
        <f>+BS_Non_Life!B39</f>
        <v>2751.273353</v>
      </c>
      <c r="AH39" s="102">
        <f>+BS_Non_Life!C39</f>
        <v>2314.6999999999998</v>
      </c>
      <c r="AI39" s="102">
        <f>+(314518825+35266090)/1000000</f>
        <v>349.78491500000001</v>
      </c>
      <c r="AJ39" s="102">
        <f>+BS_Non_Life!H39</f>
        <v>8804.501053</v>
      </c>
    </row>
    <row r="40" spans="1:36" ht="10.9" customHeight="1" x14ac:dyDescent="0.2">
      <c r="A40" s="101" t="s">
        <v>151</v>
      </c>
      <c r="B40" s="102">
        <f>336714019/1000000</f>
        <v>336.71401900000001</v>
      </c>
      <c r="C40" s="102">
        <f>+(271566666+16228211)/1000000</f>
        <v>287.79487699999999</v>
      </c>
      <c r="D40" s="102">
        <f>193329453/1000000</f>
        <v>193.329453</v>
      </c>
      <c r="E40" s="102">
        <f>57752392/1000000</f>
        <v>57.752392</v>
      </c>
      <c r="F40" s="102">
        <f t="shared" si="0"/>
        <v>875.59074100000009</v>
      </c>
      <c r="G40" s="102">
        <f>124686351/1000000</f>
        <v>124.686351</v>
      </c>
      <c r="H40" s="102">
        <f>(201727481+1098953)/1000000</f>
        <v>202.82643400000001</v>
      </c>
      <c r="I40" s="102">
        <f>176372434/1000000</f>
        <v>176.372434</v>
      </c>
      <c r="J40" s="102">
        <f>9745098/1000000</f>
        <v>9.7450980000000005</v>
      </c>
      <c r="K40" s="102">
        <f t="shared" si="1"/>
        <v>513.63031699999999</v>
      </c>
      <c r="L40" s="102">
        <f>71908923/1000000</f>
        <v>71.908923000000001</v>
      </c>
      <c r="M40" s="102">
        <f>+(84643556+173419)/1000000</f>
        <v>84.816974999999999</v>
      </c>
      <c r="N40" s="102">
        <f>70653334/1000000</f>
        <v>70.653334000000001</v>
      </c>
      <c r="O40" s="102">
        <f>9886333/1000000</f>
        <v>9.8863330000000005</v>
      </c>
      <c r="P40" s="102">
        <f t="shared" si="2"/>
        <v>237.26556500000001</v>
      </c>
      <c r="Q40" s="102">
        <f>58144413/1000000</f>
        <v>58.144413</v>
      </c>
      <c r="R40" s="102">
        <f>+(72850693+22109)/1000000</f>
        <v>72.872801999999993</v>
      </c>
      <c r="S40" s="102">
        <f>70653334/1000000</f>
        <v>70.653334000000001</v>
      </c>
      <c r="T40" s="102">
        <f>2182883/1000000</f>
        <v>2.1828829999999999</v>
      </c>
      <c r="U40" s="102">
        <f t="shared" si="3"/>
        <v>203.853432</v>
      </c>
      <c r="V40" s="102">
        <f>13983882/1000000</f>
        <v>13.983881999999999</v>
      </c>
      <c r="W40" s="102">
        <f>34798024/1000000</f>
        <v>34.798023999999998</v>
      </c>
      <c r="X40" s="102">
        <f>43068211/1000000</f>
        <v>43.068210999999998</v>
      </c>
      <c r="Y40" s="102">
        <f>394854/1000000</f>
        <v>0.39485399999999998</v>
      </c>
      <c r="Z40" s="102">
        <f t="shared" si="4"/>
        <v>92.244970999999993</v>
      </c>
      <c r="AA40" s="102">
        <f>160110490/1000000</f>
        <v>160.11049</v>
      </c>
      <c r="AB40" s="102">
        <f>+(38400000+2000000)/1000000</f>
        <v>40.4</v>
      </c>
      <c r="AC40" s="102">
        <v>0</v>
      </c>
      <c r="AD40" s="102">
        <f>52000000/1000000</f>
        <v>52</v>
      </c>
      <c r="AE40" s="102">
        <f>71056501/1000000</f>
        <v>71.056500999999997</v>
      </c>
      <c r="AF40" s="102">
        <f>3346011/1000000</f>
        <v>3.3460109999999998</v>
      </c>
      <c r="AG40" s="102">
        <f>+BS_Non_Life!B40</f>
        <v>103.671041</v>
      </c>
      <c r="AH40" s="102">
        <f>+BS_Non_Life!C40</f>
        <v>966.43073700000002</v>
      </c>
      <c r="AI40" s="102">
        <f>+(88781048+6478019)/1000000</f>
        <v>95.259067000000002</v>
      </c>
      <c r="AJ40" s="102">
        <f>+BS_Non_Life!H40</f>
        <v>2345.9846950000001</v>
      </c>
    </row>
    <row r="41" spans="1:36" ht="10.9" customHeight="1" x14ac:dyDescent="0.2">
      <c r="A41" s="101" t="s">
        <v>236</v>
      </c>
      <c r="B41" s="102">
        <f>+(221693239+8851645)/1000000</f>
        <v>230.544884</v>
      </c>
      <c r="C41" s="102">
        <f>+(133719696+12233138+15752512+189433)/1000000</f>
        <v>161.894779</v>
      </c>
      <c r="D41" s="102">
        <f>+(53353738+2502156)/1000000</f>
        <v>55.855893999999999</v>
      </c>
      <c r="E41" s="102">
        <f>+(46530818+39553293)/1000000</f>
        <v>86.084110999999993</v>
      </c>
      <c r="F41" s="102">
        <f t="shared" si="0"/>
        <v>534.37966799999992</v>
      </c>
      <c r="G41" s="102">
        <f>+(134360055+2293122)/1000000</f>
        <v>136.653177</v>
      </c>
      <c r="H41" s="102">
        <f>+(122867951+11180138+3899348+39948)/1000000</f>
        <v>137.98738499999999</v>
      </c>
      <c r="I41" s="102">
        <f>+(50627621+2313549)/1000000</f>
        <v>52.94117</v>
      </c>
      <c r="J41" s="102">
        <f>+(26676906+736571)/1000000</f>
        <v>27.413477</v>
      </c>
      <c r="K41" s="102">
        <f t="shared" si="1"/>
        <v>354.99520899999999</v>
      </c>
      <c r="L41" s="102">
        <f>+(83722994+1392160)/1000000</f>
        <v>85.115154000000004</v>
      </c>
      <c r="M41" s="102">
        <f>+(1946041+323312+173419)/1000000</f>
        <v>2.4427720000000002</v>
      </c>
      <c r="N41" s="102">
        <f>+(4681874+173419)/1000000</f>
        <v>4.8552929999999996</v>
      </c>
      <c r="O41" s="102">
        <f>+(100984+7868276)/1000000</f>
        <v>7.9692600000000002</v>
      </c>
      <c r="P41" s="102">
        <f t="shared" si="2"/>
        <v>100.38247900000002</v>
      </c>
      <c r="Q41" s="102">
        <f>+(82095439+370899)/1000000</f>
        <v>82.466337999999993</v>
      </c>
      <c r="R41" s="102">
        <f>+(1946041+279072+22109)/1000000</f>
        <v>2.2472219999999998</v>
      </c>
      <c r="S41" s="102">
        <f>+(4681874+130348)/1000000</f>
        <v>4.8122220000000002</v>
      </c>
      <c r="T41" s="102">
        <f>+(100984+164826)/1000000</f>
        <v>0.26580999999999999</v>
      </c>
      <c r="U41" s="102">
        <f t="shared" si="3"/>
        <v>89.791591999999994</v>
      </c>
      <c r="V41" s="102">
        <f>3628682/1000000</f>
        <v>3.628682</v>
      </c>
      <c r="W41" s="102">
        <f>+(56843411+5159026)/1000000</f>
        <v>62.002437</v>
      </c>
      <c r="X41" s="102">
        <f>17913103/1000000</f>
        <v>17.913103</v>
      </c>
      <c r="Y41" s="102">
        <f>-2519804/1000000</f>
        <v>-2.5198040000000002</v>
      </c>
      <c r="Z41" s="102">
        <f t="shared" si="4"/>
        <v>81.024417999999997</v>
      </c>
      <c r="AA41" s="102">
        <f>61178665/1000000</f>
        <v>61.178665000000002</v>
      </c>
      <c r="AB41" s="102">
        <f>20176360/1000000</f>
        <v>20.176359999999999</v>
      </c>
      <c r="AC41" s="102">
        <v>0</v>
      </c>
      <c r="AD41" s="102">
        <f>+(22009704+750000)/1000000</f>
        <v>22.759703999999999</v>
      </c>
      <c r="AE41" s="102">
        <f>40811745/1000000</f>
        <v>40.811745000000002</v>
      </c>
      <c r="AF41" s="102">
        <f>46169074/1000000</f>
        <v>46.169074000000002</v>
      </c>
      <c r="AG41" s="102">
        <f>+BS_Non_Life!B41</f>
        <v>41.659751999999997</v>
      </c>
      <c r="AH41" s="102">
        <f>+BS_Non_Life!C41</f>
        <v>393.36585000000002</v>
      </c>
      <c r="AI41" s="102">
        <f>26769959/1000000</f>
        <v>26.769959</v>
      </c>
      <c r="AJ41" s="102">
        <f>+BS_Non_Life!H41</f>
        <v>1055.1182349999999</v>
      </c>
    </row>
    <row r="42" spans="1:36" ht="10.9" customHeight="1" x14ac:dyDescent="0.2">
      <c r="A42" s="101" t="s">
        <v>152</v>
      </c>
      <c r="B42" s="102">
        <f>(141435817+16212058)/1000000</f>
        <v>157.647875</v>
      </c>
      <c r="C42" s="102">
        <f>+(152749794+49736827)/1000000</f>
        <v>202.48662100000001</v>
      </c>
      <c r="D42" s="102">
        <f>+(20448609+7459324)/1000000</f>
        <v>27.907933</v>
      </c>
      <c r="E42" s="102">
        <f>+(5549210+79818904)/1000000</f>
        <v>85.368114000000006</v>
      </c>
      <c r="F42" s="102">
        <f t="shared" si="0"/>
        <v>473.41054300000002</v>
      </c>
      <c r="G42" s="102">
        <f>98650920/1000000</f>
        <v>98.650919999999999</v>
      </c>
      <c r="H42" s="102">
        <f>148723060/1000000</f>
        <v>148.72306</v>
      </c>
      <c r="I42" s="102">
        <f>26004857/1000000</f>
        <v>26.004857000000001</v>
      </c>
      <c r="J42" s="102">
        <f>5931777/1000000</f>
        <v>5.9317770000000003</v>
      </c>
      <c r="K42" s="102">
        <f t="shared" si="1"/>
        <v>279.31061400000004</v>
      </c>
      <c r="L42" s="102">
        <f>+(1543804031+1754647)/1000000</f>
        <v>1545.5586780000001</v>
      </c>
      <c r="M42" s="102">
        <f>+(64026898+6396937)/1000000</f>
        <v>70.423834999999997</v>
      </c>
      <c r="N42" s="102">
        <f>+(1586545+333386)/1000000</f>
        <v>1.9199310000000001</v>
      </c>
      <c r="O42" s="102">
        <f>18911671/1000000</f>
        <v>18.911670999999998</v>
      </c>
      <c r="P42" s="102">
        <f t="shared" si="2"/>
        <v>1636.8141150000001</v>
      </c>
      <c r="Q42" s="102">
        <f>5995839/1000000</f>
        <v>5.9958390000000001</v>
      </c>
      <c r="R42" s="102">
        <f>65437459/1000000</f>
        <v>65.437459000000004</v>
      </c>
      <c r="S42" s="102">
        <f>1919931/1000000</f>
        <v>1.9199310000000001</v>
      </c>
      <c r="T42" s="102">
        <f>217689/1000000</f>
        <v>0.21768899999999999</v>
      </c>
      <c r="U42" s="102">
        <f t="shared" si="3"/>
        <v>73.570918000000006</v>
      </c>
      <c r="V42" s="102">
        <f>28360975/1000000</f>
        <v>28.360975</v>
      </c>
      <c r="W42" s="102">
        <f>5409810/1000000</f>
        <v>5.4098100000000002</v>
      </c>
      <c r="X42" s="102">
        <f>8674304/1000000</f>
        <v>8.6743039999999993</v>
      </c>
      <c r="Y42" s="102">
        <f>-13206718/1000000</f>
        <v>-13.206718</v>
      </c>
      <c r="Z42" s="102">
        <f t="shared" si="4"/>
        <v>29.238371000000001</v>
      </c>
      <c r="AA42" s="102">
        <f>79264922/1000000</f>
        <v>79.264921999999999</v>
      </c>
      <c r="AB42" s="102">
        <f>28924989/1000000</f>
        <v>28.924989</v>
      </c>
      <c r="AC42" s="102">
        <f>35782300/1000000</f>
        <v>35.782299999999999</v>
      </c>
      <c r="AD42" s="102">
        <f>+(86934531-35782300)/1000000</f>
        <v>51.152231</v>
      </c>
      <c r="AE42" s="102">
        <f>49112575/1000000</f>
        <v>49.112575</v>
      </c>
      <c r="AF42" s="102">
        <f>52835408/1000000</f>
        <v>52.835408000000001</v>
      </c>
      <c r="AG42" s="102">
        <f>+BS_Non_Life!B42</f>
        <v>86.845046999999994</v>
      </c>
      <c r="AH42" s="102">
        <f>+BS_Non_Life!C42</f>
        <v>806.51860499999998</v>
      </c>
      <c r="AI42" s="102">
        <f>+(84346825+1939265+1179680+30000)/1000000</f>
        <v>87.495769999999993</v>
      </c>
      <c r="AJ42" s="102">
        <f>+BS_Non_Life!H42</f>
        <v>1121.8692530000001</v>
      </c>
    </row>
    <row r="43" spans="1:36" ht="10.9" customHeight="1" x14ac:dyDescent="0.2">
      <c r="A43" s="101" t="s">
        <v>153</v>
      </c>
      <c r="B43" s="102">
        <f>22810636/1000000</f>
        <v>22.810635999999999</v>
      </c>
      <c r="C43" s="102">
        <f>31418935/1000000</f>
        <v>31.418935000000001</v>
      </c>
      <c r="D43" s="102">
        <f>4811536/1000000</f>
        <v>4.8115360000000003</v>
      </c>
      <c r="E43" s="102">
        <f>39717072/1000000</f>
        <v>39.717072000000002</v>
      </c>
      <c r="F43" s="102">
        <f t="shared" si="0"/>
        <v>98.758178999999998</v>
      </c>
      <c r="G43" s="102">
        <f>9843966/1000000</f>
        <v>9.843966</v>
      </c>
      <c r="H43" s="102">
        <f>16355801/1000000</f>
        <v>16.355801</v>
      </c>
      <c r="I43" s="102">
        <f>4622929/1000000</f>
        <v>4.6229290000000001</v>
      </c>
      <c r="J43" s="102">
        <f>900349/1000000</f>
        <v>0.90034899999999995</v>
      </c>
      <c r="K43" s="102">
        <f t="shared" si="1"/>
        <v>31.723044999999999</v>
      </c>
      <c r="L43" s="102">
        <f>1392160/1000000</f>
        <v>1.3921600000000001</v>
      </c>
      <c r="M43" s="102">
        <f>497024/1000000</f>
        <v>0.49702400000000002</v>
      </c>
      <c r="N43" s="102">
        <f>261097/1000000</f>
        <v>0.26109700000000002</v>
      </c>
      <c r="O43" s="102">
        <f>7868276/1000000</f>
        <v>7.8682759999999998</v>
      </c>
      <c r="P43" s="102">
        <f t="shared" si="2"/>
        <v>10.018556999999999</v>
      </c>
      <c r="Q43" s="102">
        <f>370899/1000000</f>
        <v>0.37089899999999998</v>
      </c>
      <c r="R43" s="102">
        <f>301473/1000000</f>
        <v>0.30147299999999999</v>
      </c>
      <c r="S43" s="102">
        <f>261097/1000000</f>
        <v>0.26109700000000002</v>
      </c>
      <c r="T43" s="102">
        <f>164826/1000000</f>
        <v>0.164826</v>
      </c>
      <c r="U43" s="102">
        <f t="shared" si="3"/>
        <v>1.098295</v>
      </c>
      <c r="V43" s="102">
        <f>4292263/1000000</f>
        <v>4.2922630000000002</v>
      </c>
      <c r="W43" s="102">
        <f>+(12690771+77445)/1000000</f>
        <v>12.768216000000001</v>
      </c>
      <c r="X43" s="102">
        <f>5168336/1000000</f>
        <v>5.168336</v>
      </c>
      <c r="Y43" s="102">
        <f>-3564401/1000000</f>
        <v>-3.5644010000000002</v>
      </c>
      <c r="Z43" s="102">
        <f t="shared" si="4"/>
        <v>18.664414000000001</v>
      </c>
      <c r="AA43" s="102">
        <f>27620487/1000000</f>
        <v>27.620487000000001</v>
      </c>
      <c r="AB43" s="102">
        <f>8660955/1000000</f>
        <v>8.6609549999999995</v>
      </c>
      <c r="AC43" s="102">
        <f>42000000/1000000</f>
        <v>42</v>
      </c>
      <c r="AD43" s="102">
        <f>4000000/1000000</f>
        <v>4</v>
      </c>
      <c r="AE43" s="102">
        <f>18790368/1000000</f>
        <v>18.790368000000001</v>
      </c>
      <c r="AF43" s="102">
        <f>35830836/1000000</f>
        <v>35.830835999999998</v>
      </c>
      <c r="AG43" s="102">
        <f>+BS_Non_Life!B43</f>
        <v>59.84</v>
      </c>
      <c r="AH43" s="102">
        <f>+BS_Non_Life!C43</f>
        <v>125.1289</v>
      </c>
      <c r="AI43" s="102">
        <f>11145102/1000000</f>
        <v>11.145102</v>
      </c>
      <c r="AJ43" s="102">
        <f>+BS_Non_Life!H43</f>
        <v>285.52894500000002</v>
      </c>
    </row>
    <row r="44" spans="1:36" s="8" customFormat="1" ht="10.9" customHeight="1" x14ac:dyDescent="0.2">
      <c r="A44" s="101" t="s">
        <v>154</v>
      </c>
      <c r="B44" s="102">
        <f>253757698/1000000</f>
        <v>253.757698</v>
      </c>
      <c r="C44" s="102">
        <f>+(93804906+189433)/1000000</f>
        <v>93.994338999999997</v>
      </c>
      <c r="D44" s="102">
        <f>32573074/1000000</f>
        <v>32.573073999999998</v>
      </c>
      <c r="E44" s="102">
        <f>67693030/1000000</f>
        <v>67.693029999999993</v>
      </c>
      <c r="F44" s="102">
        <f t="shared" si="0"/>
        <v>448.01814100000001</v>
      </c>
      <c r="G44" s="102">
        <f>205822330/1000000</f>
        <v>205.82232999999999</v>
      </c>
      <c r="H44" s="102">
        <f>+(66517615+39949)/1000000</f>
        <v>66.557563999999999</v>
      </c>
      <c r="I44" s="102">
        <f>31891158/1000000</f>
        <v>31.891158000000001</v>
      </c>
      <c r="J44" s="102">
        <f>33340785/1000000</f>
        <v>33.340784999999997</v>
      </c>
      <c r="K44" s="102">
        <f t="shared" si="1"/>
        <v>337.61183699999998</v>
      </c>
      <c r="L44" s="102">
        <f>146569929/1000000</f>
        <v>146.569929</v>
      </c>
      <c r="M44" s="102">
        <f>+(8400173+173419)/1000000</f>
        <v>8.5735919999999997</v>
      </c>
      <c r="N44" s="102">
        <f>7288998/1000000</f>
        <v>7.2889980000000003</v>
      </c>
      <c r="O44" s="102">
        <f>12868275/1000000</f>
        <v>12.868275000000001</v>
      </c>
      <c r="P44" s="102">
        <f t="shared" si="2"/>
        <v>175.300794</v>
      </c>
      <c r="Q44" s="102">
        <f>51964583/1000000</f>
        <v>51.964582999999998</v>
      </c>
      <c r="R44" s="102">
        <f>+(8355933+22109)/1000000</f>
        <v>8.3780420000000007</v>
      </c>
      <c r="S44" s="102">
        <f>7288998/1000000</f>
        <v>7.2889980000000003</v>
      </c>
      <c r="T44" s="102">
        <f>2664825/1000000</f>
        <v>2.664825</v>
      </c>
      <c r="U44" s="102">
        <f t="shared" si="3"/>
        <v>70.296447999999998</v>
      </c>
      <c r="V44" s="102">
        <f>29972587/1000000</f>
        <v>29.972587000000001</v>
      </c>
      <c r="W44" s="102">
        <f>+(42677258-69664)/1000000</f>
        <v>42.607593999999999</v>
      </c>
      <c r="X44" s="102">
        <f>10659830/1000000</f>
        <v>10.659829999999999</v>
      </c>
      <c r="Y44" s="102">
        <f>5105647/1000000</f>
        <v>5.1056470000000003</v>
      </c>
      <c r="Z44" s="102">
        <f t="shared" si="4"/>
        <v>88.345658</v>
      </c>
      <c r="AA44" s="102">
        <f>85169563/1000000</f>
        <v>85.169562999999997</v>
      </c>
      <c r="AB44" s="102">
        <f>20359809/1000000</f>
        <v>20.359808999999998</v>
      </c>
      <c r="AC44" s="102">
        <f>34340860/1000000</f>
        <v>34.340859999999999</v>
      </c>
      <c r="AD44" s="102">
        <f>33761184/1000000</f>
        <v>33.761184</v>
      </c>
      <c r="AE44" s="102">
        <f>45580655/1000000</f>
        <v>45.580655</v>
      </c>
      <c r="AF44" s="102">
        <f>39002945/1000000</f>
        <v>39.002944999999997</v>
      </c>
      <c r="AG44" s="102">
        <f>+BS_Non_Life!B44</f>
        <v>118.53174199999999</v>
      </c>
      <c r="AH44" s="102">
        <f>+BS_Non_Life!C44</f>
        <v>261.05378999999999</v>
      </c>
      <c r="AI44" s="102">
        <f>+(15997664+3665535)/1000000</f>
        <v>19.663198999999999</v>
      </c>
      <c r="AJ44" s="102">
        <f>+BS_Non_Life!H44</f>
        <v>907.409176</v>
      </c>
    </row>
    <row r="45" spans="1:36" ht="10.9" customHeight="1" x14ac:dyDescent="0.2">
      <c r="A45" s="101" t="s">
        <v>155</v>
      </c>
      <c r="B45" s="102">
        <f>142567209/1000000</f>
        <v>142.56720899999999</v>
      </c>
      <c r="C45" s="102">
        <f>39462064/1000000</f>
        <v>39.462063999999998</v>
      </c>
      <c r="D45" s="102">
        <f>14228994/1000000</f>
        <v>14.228994</v>
      </c>
      <c r="E45" s="102">
        <f>127422286/1000000</f>
        <v>127.422286</v>
      </c>
      <c r="F45" s="102">
        <f t="shared" si="0"/>
        <v>323.68055299999997</v>
      </c>
      <c r="G45" s="102">
        <f>48994196/1000000</f>
        <v>48.994196000000002</v>
      </c>
      <c r="H45" s="102">
        <f>24122315/1000000</f>
        <v>24.122315</v>
      </c>
      <c r="I45" s="102">
        <f>14040387/1000000</f>
        <v>14.040387000000001</v>
      </c>
      <c r="J45" s="102">
        <f>68315095/1000000</f>
        <v>68.315094999999999</v>
      </c>
      <c r="K45" s="102">
        <f t="shared" si="1"/>
        <v>155.471993</v>
      </c>
      <c r="L45" s="102">
        <f>5267517/1000000</f>
        <v>5.2675169999999998</v>
      </c>
      <c r="M45" s="102">
        <f>477357/1000000</f>
        <v>0.47735699999999998</v>
      </c>
      <c r="N45" s="102">
        <f>955647/1000000</f>
        <v>0.95564700000000002</v>
      </c>
      <c r="O45" s="102">
        <f>32265785/1000000</f>
        <v>32.265785000000001</v>
      </c>
      <c r="P45" s="102">
        <f t="shared" si="2"/>
        <v>38.966306000000003</v>
      </c>
      <c r="Q45" s="102">
        <f>4246256/1000000</f>
        <v>4.2462559999999998</v>
      </c>
      <c r="R45" s="102">
        <f>287640/1000000</f>
        <v>0.28764000000000001</v>
      </c>
      <c r="S45" s="102">
        <f>955647/1000000</f>
        <v>0.95564700000000002</v>
      </c>
      <c r="T45" s="102">
        <f>325825/1000000</f>
        <v>0.32582499999999998</v>
      </c>
      <c r="U45" s="102">
        <f t="shared" si="3"/>
        <v>5.8153679999999994</v>
      </c>
      <c r="V45" s="102">
        <f>-7263077/1000000</f>
        <v>-7.263077</v>
      </c>
      <c r="W45" s="102">
        <f>2164230/1000000</f>
        <v>2.1642299999999999</v>
      </c>
      <c r="X45" s="102">
        <f>7251816/1000000</f>
        <v>7.2518159999999998</v>
      </c>
      <c r="Y45" s="102">
        <f>3664238/1000000</f>
        <v>3.6642380000000001</v>
      </c>
      <c r="Z45" s="102">
        <f t="shared" si="4"/>
        <v>5.8172069999999998</v>
      </c>
      <c r="AA45" s="102">
        <f>10202652/1000000</f>
        <v>10.202652</v>
      </c>
      <c r="AB45" s="102">
        <f>1388495/1000000</f>
        <v>1.388495</v>
      </c>
      <c r="AC45" s="102">
        <v>0</v>
      </c>
      <c r="AD45" s="102">
        <f>6500000/1000000</f>
        <v>6.5</v>
      </c>
      <c r="AE45" s="102">
        <f>72692567/1000000</f>
        <v>72.692566999999997</v>
      </c>
      <c r="AF45" s="102">
        <f>70378410/1000000</f>
        <v>70.378410000000002</v>
      </c>
      <c r="AG45" s="102">
        <f>+BS_Non_Life!B45</f>
        <v>1093.9168340000001</v>
      </c>
      <c r="AH45" s="102">
        <f>+BS_Non_Life!C45</f>
        <v>177</v>
      </c>
      <c r="AI45" s="102">
        <f>+(14570016+1124887)/1000000</f>
        <v>15.694903</v>
      </c>
      <c r="AJ45" s="102">
        <f>+BS_Non_Life!H45</f>
        <v>1387.6434879999999</v>
      </c>
    </row>
    <row r="46" spans="1:36" ht="10.9" customHeight="1" x14ac:dyDescent="0.2">
      <c r="A46" s="101" t="s">
        <v>156</v>
      </c>
      <c r="B46" s="102">
        <f>76324181/1000000</f>
        <v>76.324180999999996</v>
      </c>
      <c r="C46" s="102">
        <f>+(63685925+6778182)/1000000</f>
        <v>70.464106999999998</v>
      </c>
      <c r="D46" s="102">
        <f>21871986/1000000</f>
        <v>21.871986</v>
      </c>
      <c r="E46" s="102">
        <f>195210142/1000000</f>
        <v>195.21014199999999</v>
      </c>
      <c r="F46" s="102">
        <f t="shared" si="0"/>
        <v>363.87041599999998</v>
      </c>
      <c r="G46" s="102">
        <f>41207049/1000000</f>
        <v>41.207048999999998</v>
      </c>
      <c r="H46" s="102">
        <f>+(47566115+4985521)/1000000</f>
        <v>52.551636000000002</v>
      </c>
      <c r="I46" s="102">
        <f>21471414/1000000</f>
        <v>21.471413999999999</v>
      </c>
      <c r="J46" s="102">
        <f>32216137/1000000</f>
        <v>32.216137000000003</v>
      </c>
      <c r="K46" s="102">
        <f t="shared" si="1"/>
        <v>147.446236</v>
      </c>
      <c r="L46" s="102">
        <f>9589865/1000000</f>
        <v>9.5898649999999996</v>
      </c>
      <c r="M46" s="102">
        <f>+(742928+173419)/1000000</f>
        <v>0.91634700000000002</v>
      </c>
      <c r="N46" s="102">
        <f>2396926/1000000</f>
        <v>2.3969260000000001</v>
      </c>
      <c r="O46" s="102">
        <f>127728440/1000000</f>
        <v>127.72844000000001</v>
      </c>
      <c r="P46" s="102">
        <f t="shared" si="2"/>
        <v>140.63157800000002</v>
      </c>
      <c r="Q46" s="102">
        <f>760032/1000000</f>
        <v>0.76003200000000004</v>
      </c>
      <c r="R46" s="102">
        <f>+(656850+22109)/1000000</f>
        <v>0.67895899999999998</v>
      </c>
      <c r="S46" s="102">
        <f>2396926/1000000</f>
        <v>2.3969260000000001</v>
      </c>
      <c r="T46" s="102">
        <f>59214754/1000000</f>
        <v>59.214753999999999</v>
      </c>
      <c r="U46" s="102">
        <f t="shared" si="3"/>
        <v>63.050671000000001</v>
      </c>
      <c r="V46" s="102">
        <f>18591977/1000000</f>
        <v>18.591977</v>
      </c>
      <c r="W46" s="102">
        <f>22153887/1000000</f>
        <v>22.153887000000001</v>
      </c>
      <c r="X46" s="102">
        <f>13877285/1000000</f>
        <v>13.877285000000001</v>
      </c>
      <c r="Y46" s="102">
        <f>-43751235/1000000</f>
        <v>-43.751235000000001</v>
      </c>
      <c r="Z46" s="102">
        <f t="shared" si="4"/>
        <v>10.871913999999997</v>
      </c>
      <c r="AA46" s="102">
        <f>36214130/1000000</f>
        <v>36.214129999999997</v>
      </c>
      <c r="AB46" s="102">
        <f>2829557/1000000</f>
        <v>2.8295569999999999</v>
      </c>
      <c r="AC46" s="102">
        <f>18000000/1000000</f>
        <v>18</v>
      </c>
      <c r="AD46" s="102">
        <f>25470929/1000000</f>
        <v>25.470929000000002</v>
      </c>
      <c r="AE46" s="102">
        <f>14295589/1000000</f>
        <v>14.295589</v>
      </c>
      <c r="AF46" s="102">
        <f>24381945/1000000</f>
        <v>24.381945000000002</v>
      </c>
      <c r="AG46" s="102">
        <f>+BS_Non_Life!B46</f>
        <v>30.212219000000001</v>
      </c>
      <c r="AH46" s="102">
        <f>+BS_Non_Life!C46</f>
        <v>370.4</v>
      </c>
      <c r="AI46" s="102">
        <f>+(33070385+740311)/1000000</f>
        <v>33.810696</v>
      </c>
      <c r="AJ46" s="102">
        <f>+BS_Non_Life!H46</f>
        <v>488.70983699999994</v>
      </c>
    </row>
    <row r="47" spans="1:36" ht="10.9" customHeight="1" x14ac:dyDescent="0.2">
      <c r="A47" s="101" t="s">
        <v>157</v>
      </c>
      <c r="B47" s="102">
        <f>+(200602415+8856645)/1000000</f>
        <v>209.45905999999999</v>
      </c>
      <c r="C47" s="102">
        <f>+(129806012+15756307+531820+189433)/1000000</f>
        <v>146.28357199999999</v>
      </c>
      <c r="D47" s="102">
        <f>+(25448956+2504156)/1000000</f>
        <v>27.953112000000001</v>
      </c>
      <c r="E47" s="102">
        <f>+(5041365+39542497)/1000000</f>
        <v>44.583862000000003</v>
      </c>
      <c r="F47" s="102">
        <f t="shared" si="0"/>
        <v>428.27960599999994</v>
      </c>
      <c r="G47" s="102">
        <f>78025535/1000000</f>
        <v>78.025535000000005</v>
      </c>
      <c r="H47" s="102">
        <f>+(107423437+235392)/1000000</f>
        <v>107.658829</v>
      </c>
      <c r="I47" s="102">
        <f>26046700/1000000</f>
        <v>26.046700000000001</v>
      </c>
      <c r="J47" s="102">
        <f>3561542/1000000</f>
        <v>3.5615420000000002</v>
      </c>
      <c r="K47" s="102">
        <f t="shared" si="1"/>
        <v>215.29260600000001</v>
      </c>
      <c r="L47" s="102">
        <f>+(18750252+42848)/1000000</f>
        <v>18.793099999999999</v>
      </c>
      <c r="M47" s="102">
        <f>+(6525258+260755+8800+22108)/1000000</f>
        <v>6.8169209999999998</v>
      </c>
      <c r="N47" s="102">
        <f>+(2025307+130269)/1000000</f>
        <v>2.1555759999999999</v>
      </c>
      <c r="O47" s="102">
        <f>+(6413442+150779)/1000000</f>
        <v>6.5642209999999999</v>
      </c>
      <c r="P47" s="102">
        <f t="shared" si="2"/>
        <v>34.329818000000003</v>
      </c>
      <c r="Q47" s="102">
        <f>4762296/1000000</f>
        <v>4.7622960000000001</v>
      </c>
      <c r="R47" s="102">
        <f>+(3913233+30908)/1000000</f>
        <v>3.9441410000000001</v>
      </c>
      <c r="S47" s="102">
        <f>720039/1000000</f>
        <v>0.72003899999999998</v>
      </c>
      <c r="T47" s="102">
        <f>6348360/1000000</f>
        <v>6.3483599999999996</v>
      </c>
      <c r="U47" s="102">
        <f t="shared" si="3"/>
        <v>15.774836000000001</v>
      </c>
      <c r="V47" s="102">
        <f>6621298/1000000</f>
        <v>6.6212980000000003</v>
      </c>
      <c r="W47" s="102">
        <f>+(33979713+610264)/1000000</f>
        <v>34.589976999999998</v>
      </c>
      <c r="X47" s="102">
        <f>11004514/1000000</f>
        <v>11.004514</v>
      </c>
      <c r="Y47" s="102">
        <f>-1018079/1000000</f>
        <v>-1.018079</v>
      </c>
      <c r="Z47" s="102">
        <f t="shared" si="4"/>
        <v>51.197710000000001</v>
      </c>
      <c r="AA47" s="102">
        <f>69719151/1000000</f>
        <v>69.719150999999997</v>
      </c>
      <c r="AB47" s="102">
        <f>15555611/1000000</f>
        <v>15.555611000000001</v>
      </c>
      <c r="AC47" s="102">
        <f>18951130/1000000</f>
        <v>18.951129999999999</v>
      </c>
      <c r="AD47" s="102">
        <f>21529261/1000000</f>
        <v>21.529261000000002</v>
      </c>
      <c r="AE47" s="102">
        <f>45250715/1000000</f>
        <v>45.250715</v>
      </c>
      <c r="AF47" s="102">
        <f>42560553/1000000</f>
        <v>42.560552999999999</v>
      </c>
      <c r="AG47" s="102">
        <f>+BS_Non_Life!B47</f>
        <v>204.93704399999999</v>
      </c>
      <c r="AH47" s="102">
        <f>+BS_Non_Life!C47</f>
        <v>563.85</v>
      </c>
      <c r="AI47" s="102">
        <f>+(41593799+6479983)/1000000</f>
        <v>48.073782000000001</v>
      </c>
      <c r="AJ47" s="102">
        <f>+BS_Non_Life!H47</f>
        <v>1001.2562760000001</v>
      </c>
    </row>
    <row r="48" spans="1:36" ht="10.9" customHeight="1" x14ac:dyDescent="0.2">
      <c r="A48" s="101" t="s">
        <v>158</v>
      </c>
      <c r="B48" s="102">
        <f>+(147679637+8851645)/1000000</f>
        <v>156.531282</v>
      </c>
      <c r="C48" s="102">
        <f>+(162076167+15941945)/1000000</f>
        <v>178.018112</v>
      </c>
      <c r="D48" s="102">
        <f>+(46989584+2502156)/1000000</f>
        <v>49.49174</v>
      </c>
      <c r="E48" s="102">
        <f>+(48743591+39554497)/1000000</f>
        <v>88.298088000000007</v>
      </c>
      <c r="F48" s="102">
        <f t="shared" si="0"/>
        <v>472.33922200000001</v>
      </c>
      <c r="G48" s="102">
        <f>+(75331429+2293122)/1000000</f>
        <v>77.624550999999997</v>
      </c>
      <c r="H48" s="102">
        <f>+(117782244+3939296)/1000000</f>
        <v>121.72154</v>
      </c>
      <c r="I48" s="102">
        <f>+(45639084+2313549)/1000000</f>
        <v>47.952632999999999</v>
      </c>
      <c r="J48" s="102">
        <f>+(30245719+737779)/1000000</f>
        <v>30.983498000000001</v>
      </c>
      <c r="K48" s="102">
        <f t="shared" si="1"/>
        <v>278.28222199999999</v>
      </c>
      <c r="L48" s="102">
        <f>+(54465423+468315)/1000000</f>
        <v>54.933737999999998</v>
      </c>
      <c r="M48" s="102">
        <f>+(25003315+368197)/1000000</f>
        <v>25.371511999999999</v>
      </c>
      <c r="N48" s="102">
        <f>+(11387329+130348)/1000000</f>
        <v>11.517677000000001</v>
      </c>
      <c r="O48" s="102">
        <f>+(11191070+178476)/1000000</f>
        <v>11.369546</v>
      </c>
      <c r="P48" s="102">
        <f t="shared" si="2"/>
        <v>103.19247300000001</v>
      </c>
      <c r="Q48" s="102">
        <f>+(16866106+468315)/1000000</f>
        <v>17.334420999999999</v>
      </c>
      <c r="R48" s="102">
        <f>+(14827300+368197)/1000000</f>
        <v>15.195497</v>
      </c>
      <c r="S48" s="102">
        <f>+(10521439+130348)/1000000</f>
        <v>10.651787000000001</v>
      </c>
      <c r="T48" s="102">
        <f>+(6752843+178476)/1000000</f>
        <v>6.9313190000000002</v>
      </c>
      <c r="U48" s="102">
        <f t="shared" si="3"/>
        <v>50.113023999999996</v>
      </c>
      <c r="V48" s="102">
        <f>10538180/1000000</f>
        <v>10.538180000000001</v>
      </c>
      <c r="W48" s="102">
        <f>18982572/1000000</f>
        <v>18.982572000000001</v>
      </c>
      <c r="X48" s="102">
        <f>16502731/1000000</f>
        <v>16.502731000000001</v>
      </c>
      <c r="Y48" s="102">
        <f>-2706878/1000000</f>
        <v>-2.7068780000000001</v>
      </c>
      <c r="Z48" s="102">
        <f>SUM(V48:Y48)</f>
        <v>43.316604999999996</v>
      </c>
      <c r="AA48" s="102">
        <f>117768639/1000000</f>
        <v>117.76863899999999</v>
      </c>
      <c r="AB48" s="102">
        <f>26000000/1000000</f>
        <v>26</v>
      </c>
      <c r="AC48" s="102">
        <f>46200000/1000000</f>
        <v>46.2</v>
      </c>
      <c r="AD48" s="102">
        <f>+(27828222+9000000)/1000000</f>
        <v>36.828221999999997</v>
      </c>
      <c r="AE48" s="102">
        <f>527135454/1000000</f>
        <v>527.13545399999998</v>
      </c>
      <c r="AF48" s="102">
        <f>438730804/1000000</f>
        <v>438.73080399999998</v>
      </c>
      <c r="AG48" s="102">
        <f>+BS_Non_Life!B48</f>
        <v>25</v>
      </c>
      <c r="AH48" s="102">
        <f>+BS_Non_Life!C48</f>
        <v>406.64909299999999</v>
      </c>
      <c r="AI48" s="102">
        <f>+(67790587-3688203+20019580+216517)/1000000</f>
        <v>84.338481000000002</v>
      </c>
      <c r="AJ48" s="102">
        <f>+BS_Non_Life!H48</f>
        <v>1652.4843639999999</v>
      </c>
    </row>
    <row r="49" spans="1:37" ht="10.9" customHeight="1" x14ac:dyDescent="0.2">
      <c r="A49" s="101" t="s">
        <v>159</v>
      </c>
      <c r="B49" s="102">
        <f>+(154591489+8851645)/1000000</f>
        <v>163.44313399999999</v>
      </c>
      <c r="C49" s="102">
        <f>+(110312766+10729634+1042328+211105)/1000000</f>
        <v>122.295833</v>
      </c>
      <c r="D49" s="102">
        <f>+(38165043+7502156)/1000000</f>
        <v>45.667198999999997</v>
      </c>
      <c r="E49" s="102">
        <f>+(26900991+39554497)/1000000</f>
        <v>66.455488000000003</v>
      </c>
      <c r="F49" s="102">
        <f t="shared" si="0"/>
        <v>397.86165399999999</v>
      </c>
      <c r="G49" s="102">
        <f>145168523/1000000</f>
        <v>145.16852299999999</v>
      </c>
      <c r="H49" s="102">
        <f>+(90569221+90897)/1000000</f>
        <v>90.660117999999997</v>
      </c>
      <c r="I49" s="102">
        <f>43578592/1000000</f>
        <v>43.578592</v>
      </c>
      <c r="J49" s="102">
        <f>36672140/1000000</f>
        <v>36.672139999999999</v>
      </c>
      <c r="K49" s="102">
        <f t="shared" si="1"/>
        <v>316.07937300000003</v>
      </c>
      <c r="L49" s="102">
        <f>+(69712235+1392160)/1000000</f>
        <v>71.104394999999997</v>
      </c>
      <c r="M49" s="102">
        <f>+(4962071+323182+173418)/1000000</f>
        <v>5.4586709999999998</v>
      </c>
      <c r="N49" s="102">
        <f>+(12839002+130348)/1000000</f>
        <v>12.96935</v>
      </c>
      <c r="O49" s="102">
        <f>+(53471+7868275)/1000000</f>
        <v>7.9217459999999997</v>
      </c>
      <c r="P49" s="102">
        <f t="shared" si="2"/>
        <v>97.454161999999997</v>
      </c>
      <c r="Q49" s="102">
        <f>62083135/1000000</f>
        <v>62.083134999999999</v>
      </c>
      <c r="R49" s="102">
        <f>+(3464379+22108)/1000000</f>
        <v>3.4864869999999999</v>
      </c>
      <c r="S49" s="102">
        <f>12969350/1000000</f>
        <v>12.96935</v>
      </c>
      <c r="T49" s="102">
        <f>218296/1000000</f>
        <v>0.21829599999999999</v>
      </c>
      <c r="U49" s="102">
        <f t="shared" si="3"/>
        <v>78.757267999999996</v>
      </c>
      <c r="V49" s="102">
        <f>6571428/1000000</f>
        <v>6.571428</v>
      </c>
      <c r="W49" s="102">
        <f>+(62407941-398834)/1000000</f>
        <v>62.009107</v>
      </c>
      <c r="X49" s="102">
        <f>3176774/1000000</f>
        <v>3.176774</v>
      </c>
      <c r="Y49" s="102">
        <f>2512601/1000000</f>
        <v>2.5126010000000001</v>
      </c>
      <c r="Z49" s="102">
        <f t="shared" si="4"/>
        <v>74.269909999999996</v>
      </c>
      <c r="AA49" s="102">
        <f>44385026/1000000</f>
        <v>44.385026000000003</v>
      </c>
      <c r="AB49" s="102">
        <f>+(7967775+700000)/1000000</f>
        <v>8.6677750000000007</v>
      </c>
      <c r="AC49" s="102">
        <f>19240650/1000000</f>
        <v>19.240649999999999</v>
      </c>
      <c r="AD49" s="102">
        <f>16278088/1000000</f>
        <v>16.278088</v>
      </c>
      <c r="AE49" s="102">
        <f>395216/1000000</f>
        <v>0.39521600000000001</v>
      </c>
      <c r="AF49" s="102">
        <f>196703/1000000</f>
        <v>0.19670299999999999</v>
      </c>
      <c r="AG49" s="102">
        <f>+BS_Non_Life!B49</f>
        <v>25</v>
      </c>
      <c r="AH49" s="102">
        <f>+BS_Non_Life!C49</f>
        <v>87.038171000000006</v>
      </c>
      <c r="AI49" s="102">
        <f>9315477/1000000</f>
        <v>9.3154769999999996</v>
      </c>
      <c r="AJ49" s="102">
        <f>+BS_Non_Life!H49</f>
        <v>748.76097100000004</v>
      </c>
    </row>
    <row r="50" spans="1:37" ht="10.9" customHeight="1" x14ac:dyDescent="0.2">
      <c r="A50" s="106" t="s">
        <v>87</v>
      </c>
      <c r="B50" s="107">
        <f t="shared" ref="B50:Z50" si="5">SUM(B5:B49)</f>
        <v>12641.17380887</v>
      </c>
      <c r="C50" s="107">
        <f t="shared" si="5"/>
        <v>9905.0055355200002</v>
      </c>
      <c r="D50" s="107">
        <f t="shared" si="5"/>
        <v>3663.1643173000002</v>
      </c>
      <c r="E50" s="107">
        <f t="shared" si="5"/>
        <v>4137.5966120999992</v>
      </c>
      <c r="F50" s="107">
        <f t="shared" si="5"/>
        <v>30346.940273790002</v>
      </c>
      <c r="G50" s="107">
        <f t="shared" si="5"/>
        <v>5021.3671579799993</v>
      </c>
      <c r="H50" s="107">
        <f t="shared" si="5"/>
        <v>6916.9596337099993</v>
      </c>
      <c r="I50" s="107">
        <f t="shared" si="5"/>
        <v>3474.9451173899993</v>
      </c>
      <c r="J50" s="107">
        <f t="shared" si="5"/>
        <v>1191.5732668199996</v>
      </c>
      <c r="K50" s="107">
        <f>SUM(K5:K49)</f>
        <v>16604.845175899998</v>
      </c>
      <c r="L50" s="107">
        <f t="shared" si="5"/>
        <v>5626.0529896600001</v>
      </c>
      <c r="M50" s="107">
        <f t="shared" si="5"/>
        <v>1346.9432050100004</v>
      </c>
      <c r="N50" s="107">
        <f t="shared" si="5"/>
        <v>935.92450048000001</v>
      </c>
      <c r="O50" s="107">
        <f t="shared" si="5"/>
        <v>676.32510544000002</v>
      </c>
      <c r="P50" s="107">
        <f t="shared" si="5"/>
        <v>8585.2458005900007</v>
      </c>
      <c r="Q50" s="107">
        <f t="shared" si="5"/>
        <v>1681.7092730899997</v>
      </c>
      <c r="R50" s="107">
        <f t="shared" si="5"/>
        <v>916.22903213000018</v>
      </c>
      <c r="S50" s="107">
        <f t="shared" si="5"/>
        <v>915.51068948</v>
      </c>
      <c r="T50" s="107">
        <f t="shared" si="5"/>
        <v>200.05483939999996</v>
      </c>
      <c r="U50" s="107">
        <f t="shared" si="5"/>
        <v>3713.5038340999995</v>
      </c>
      <c r="V50" s="107">
        <f t="shared" si="5"/>
        <v>-256.49572899999993</v>
      </c>
      <c r="W50" s="107">
        <f t="shared" si="5"/>
        <v>2653.3129170000002</v>
      </c>
      <c r="X50" s="107">
        <f t="shared" si="5"/>
        <v>1032.3958689999999</v>
      </c>
      <c r="Y50" s="107">
        <f>SUM(Y5:Y49)</f>
        <v>179.361075</v>
      </c>
      <c r="Z50" s="107">
        <f t="shared" si="5"/>
        <v>3608.5741319999997</v>
      </c>
      <c r="AA50" s="107">
        <f t="shared" ref="AA50:AI50" si="6">SUM(AA5:AA49)</f>
        <v>5323.4615750000012</v>
      </c>
      <c r="AB50" s="107">
        <f t="shared" si="6"/>
        <v>994.42430600000012</v>
      </c>
      <c r="AC50" s="107">
        <f t="shared" si="6"/>
        <v>1534.403867</v>
      </c>
      <c r="AD50" s="107">
        <f t="shared" si="6"/>
        <v>1392.2108650000002</v>
      </c>
      <c r="AE50" s="107">
        <f t="shared" si="6"/>
        <v>3622.5774519999995</v>
      </c>
      <c r="AF50" s="107">
        <f t="shared" si="6"/>
        <v>3036.8527459999996</v>
      </c>
      <c r="AG50" s="107">
        <f t="shared" si="6"/>
        <v>15491.423338000001</v>
      </c>
      <c r="AH50" s="107">
        <f t="shared" si="6"/>
        <v>22544.867622999998</v>
      </c>
      <c r="AI50" s="107">
        <f t="shared" si="6"/>
        <v>2605.8118170000007</v>
      </c>
      <c r="AJ50" s="107">
        <f>SUM(AJ5:AJ49)</f>
        <v>79773.662654</v>
      </c>
      <c r="AK50" s="108"/>
    </row>
    <row r="51" spans="1:37" s="8" customFormat="1" ht="10.9" customHeight="1" x14ac:dyDescent="0.2">
      <c r="A51" s="101" t="s">
        <v>160</v>
      </c>
      <c r="B51" s="102">
        <f>+(511865596+3913690834+1910780)/1000000</f>
        <v>4427.4672099999998</v>
      </c>
      <c r="C51" s="102">
        <f>+(984393871+1728370162+1035879)/1000000</f>
        <v>2713.7999119999999</v>
      </c>
      <c r="D51" s="102">
        <f>158585950/1000000</f>
        <v>158.58595</v>
      </c>
      <c r="E51" s="102">
        <f>+(1864442103+2280999016)/1000000</f>
        <v>4145.4411190000001</v>
      </c>
      <c r="F51" s="102">
        <f>SUM(B51:E51)</f>
        <v>11445.294190999999</v>
      </c>
      <c r="G51" s="102">
        <f>2948292067/1000000</f>
        <v>2948.2920669999999</v>
      </c>
      <c r="H51" s="102">
        <f>2355261398/1000000</f>
        <v>2355.2613980000001</v>
      </c>
      <c r="I51" s="102">
        <f>158585950/1000000</f>
        <v>158.58595</v>
      </c>
      <c r="J51" s="102">
        <f>789887076/1000000</f>
        <v>789.88707599999998</v>
      </c>
      <c r="K51" s="102">
        <f>SUM(G51:J51)</f>
        <v>6252.0264909999996</v>
      </c>
      <c r="L51" s="102">
        <f>+(29822910+3329590956+4064979)/1000000</f>
        <v>3363.4788450000001</v>
      </c>
      <c r="M51" s="102">
        <f>+(38048365+211651305+733142)/1000000</f>
        <v>250.43281200000001</v>
      </c>
      <c r="N51" s="102">
        <f>13850787/1000000</f>
        <v>13.850787</v>
      </c>
      <c r="O51" s="102">
        <f>+(18292212+117591682)/1000000</f>
        <v>135.883894</v>
      </c>
      <c r="P51" s="102">
        <f>SUM(L51:O51)</f>
        <v>3763.646338</v>
      </c>
      <c r="Q51" s="102">
        <f>2361274442/1000000</f>
        <v>2361.2744419999999</v>
      </c>
      <c r="R51" s="102">
        <f>233704762/1000000</f>
        <v>233.70476199999999</v>
      </c>
      <c r="S51" s="102">
        <f>-32801646/1000000</f>
        <v>-32.801645999999998</v>
      </c>
      <c r="T51" s="102">
        <f>120818731/1000000</f>
        <v>120.818731</v>
      </c>
      <c r="U51" s="102">
        <f>SUM(Q51:T51)</f>
        <v>2682.9962889999997</v>
      </c>
      <c r="V51" s="102">
        <f>170637561/1000000</f>
        <v>170.63756100000001</v>
      </c>
      <c r="W51" s="102">
        <f>916901951/1000000</f>
        <v>916.90195100000005</v>
      </c>
      <c r="X51" s="102">
        <f>171357671/1000000</f>
        <v>171.35767100000001</v>
      </c>
      <c r="Y51" s="102">
        <f>447934100/1000000</f>
        <v>447.9341</v>
      </c>
      <c r="Z51" s="102">
        <f>SUM(V51:Y51)</f>
        <v>1706.831283</v>
      </c>
      <c r="AA51" s="102">
        <f>2333771746/1000000</f>
        <v>2333.7717459999999</v>
      </c>
      <c r="AB51" s="102">
        <f>916444015/1000000</f>
        <v>916.44401500000004</v>
      </c>
      <c r="AC51" s="102">
        <v>0</v>
      </c>
      <c r="AD51" s="102">
        <f>+(17099357438-14765585691)/1000000</f>
        <v>2333.7717469999998</v>
      </c>
      <c r="AE51" s="102"/>
      <c r="AF51" s="102">
        <f>2985067162/1000000</f>
        <v>2985.0671619999998</v>
      </c>
      <c r="AG51" s="102">
        <f>+BS_Non_Life!B51</f>
        <v>4523.813725</v>
      </c>
      <c r="AH51" s="102">
        <f>+BS_Non_Life!C51</f>
        <v>10212.359386</v>
      </c>
      <c r="AI51" s="102">
        <f>+(1630472130+39959344)/1000000</f>
        <v>1670.431474</v>
      </c>
      <c r="AJ51" s="102">
        <f>+BS_Non_Life!H51</f>
        <v>33287.057646000001</v>
      </c>
    </row>
    <row r="52" spans="1:37" ht="10.9" customHeight="1" x14ac:dyDescent="0.2">
      <c r="A52" s="106" t="s">
        <v>89</v>
      </c>
      <c r="B52" s="107">
        <f t="shared" ref="B52:Z52" si="7">+B50+B51</f>
        <v>17068.641018869999</v>
      </c>
      <c r="C52" s="107">
        <f t="shared" si="7"/>
        <v>12618.805447520001</v>
      </c>
      <c r="D52" s="107">
        <f t="shared" si="7"/>
        <v>3821.7502673000004</v>
      </c>
      <c r="E52" s="107">
        <f t="shared" si="7"/>
        <v>8283.0377310999993</v>
      </c>
      <c r="F52" s="107">
        <f t="shared" si="7"/>
        <v>41792.234464790003</v>
      </c>
      <c r="G52" s="107">
        <f t="shared" si="7"/>
        <v>7969.6592249799996</v>
      </c>
      <c r="H52" s="107">
        <f t="shared" si="7"/>
        <v>9272.2210317099998</v>
      </c>
      <c r="I52" s="107">
        <f t="shared" si="7"/>
        <v>3633.5310673899994</v>
      </c>
      <c r="J52" s="107">
        <f t="shared" si="7"/>
        <v>1981.4603428199996</v>
      </c>
      <c r="K52" s="107">
        <f t="shared" si="7"/>
        <v>22856.871666899999</v>
      </c>
      <c r="L52" s="107">
        <f t="shared" si="7"/>
        <v>8989.5318346599997</v>
      </c>
      <c r="M52" s="107">
        <f t="shared" si="7"/>
        <v>1597.3760170100004</v>
      </c>
      <c r="N52" s="107">
        <f t="shared" si="7"/>
        <v>949.77528747999997</v>
      </c>
      <c r="O52" s="107">
        <f t="shared" si="7"/>
        <v>812.20899944000007</v>
      </c>
      <c r="P52" s="107">
        <f t="shared" si="7"/>
        <v>12348.892138590001</v>
      </c>
      <c r="Q52" s="107">
        <f t="shared" si="7"/>
        <v>4042.9837150899994</v>
      </c>
      <c r="R52" s="107">
        <f t="shared" si="7"/>
        <v>1149.9337941300003</v>
      </c>
      <c r="S52" s="107">
        <f t="shared" si="7"/>
        <v>882.70904347999999</v>
      </c>
      <c r="T52" s="107">
        <f t="shared" si="7"/>
        <v>320.87357039999995</v>
      </c>
      <c r="U52" s="107">
        <f t="shared" si="7"/>
        <v>6396.5001230999987</v>
      </c>
      <c r="V52" s="107">
        <f t="shared" si="7"/>
        <v>-85.858167999999921</v>
      </c>
      <c r="W52" s="107">
        <f t="shared" si="7"/>
        <v>3570.214868</v>
      </c>
      <c r="X52" s="107">
        <f t="shared" si="7"/>
        <v>1203.7535399999999</v>
      </c>
      <c r="Y52" s="107">
        <f t="shared" si="7"/>
        <v>627.29517499999997</v>
      </c>
      <c r="Z52" s="107">
        <f t="shared" si="7"/>
        <v>5315.4054149999993</v>
      </c>
      <c r="AA52" s="107">
        <f t="shared" ref="AA52:AJ52" si="8">+AA50+AA51</f>
        <v>7657.2333210000015</v>
      </c>
      <c r="AB52" s="107">
        <f t="shared" si="8"/>
        <v>1910.8683210000002</v>
      </c>
      <c r="AC52" s="107">
        <f t="shared" si="8"/>
        <v>1534.403867</v>
      </c>
      <c r="AD52" s="107">
        <f t="shared" si="8"/>
        <v>3725.9826119999998</v>
      </c>
      <c r="AE52" s="107">
        <f t="shared" si="8"/>
        <v>3622.5774519999995</v>
      </c>
      <c r="AF52" s="107">
        <f t="shared" si="8"/>
        <v>6021.9199079999999</v>
      </c>
      <c r="AG52" s="107">
        <f t="shared" si="8"/>
        <v>20015.237063</v>
      </c>
      <c r="AH52" s="107">
        <f t="shared" si="8"/>
        <v>32757.227008999998</v>
      </c>
      <c r="AI52" s="107">
        <f t="shared" si="8"/>
        <v>4276.2432910000007</v>
      </c>
      <c r="AJ52" s="107">
        <f t="shared" si="8"/>
        <v>113060.7203</v>
      </c>
    </row>
  </sheetData>
  <mergeCells count="17">
    <mergeCell ref="AF3:AF4"/>
    <mergeCell ref="A3:A4"/>
    <mergeCell ref="B3:F3"/>
    <mergeCell ref="G3:K3"/>
    <mergeCell ref="L3:P3"/>
    <mergeCell ref="Q3:U3"/>
    <mergeCell ref="V3:Z3"/>
    <mergeCell ref="A1:AJ1"/>
    <mergeCell ref="AG3:AG4"/>
    <mergeCell ref="AH3:AH4"/>
    <mergeCell ref="AI3:AI4"/>
    <mergeCell ref="AJ3:AJ4"/>
    <mergeCell ref="AA3:AA4"/>
    <mergeCell ref="AB3:AB4"/>
    <mergeCell ref="AC3:AC4"/>
    <mergeCell ref="AD3:AD4"/>
    <mergeCell ref="AE3:AE4"/>
  </mergeCells>
  <pageMargins left="0.01" right="0.01" top="0.3" bottom="0.1" header="0.3" footer="0.3"/>
  <pageSetup paperSize="9" firstPageNumber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topLeftCell="A25" workbookViewId="0">
      <selection activeCell="A8" sqref="A8"/>
    </sheetView>
  </sheetViews>
  <sheetFormatPr defaultRowHeight="15" x14ac:dyDescent="0.2"/>
  <cols>
    <col min="1" max="1" width="47.140625" style="2" customWidth="1"/>
    <col min="2" max="2" width="15.42578125" style="2" customWidth="1"/>
    <col min="3" max="3" width="16" style="2" customWidth="1"/>
    <col min="4" max="16384" width="9.140625" style="2"/>
  </cols>
  <sheetData>
    <row r="1" spans="1:3" x14ac:dyDescent="0.2">
      <c r="A1" s="20" t="s">
        <v>45</v>
      </c>
      <c r="B1" s="37"/>
      <c r="C1" s="37"/>
    </row>
    <row r="2" spans="1:3" x14ac:dyDescent="0.2">
      <c r="A2" s="20" t="s">
        <v>46</v>
      </c>
      <c r="B2" s="37"/>
      <c r="C2" s="37"/>
    </row>
    <row r="3" spans="1:3" x14ac:dyDescent="0.2">
      <c r="A3" s="20" t="s">
        <v>216</v>
      </c>
      <c r="B3" s="37"/>
      <c r="C3" s="37"/>
    </row>
    <row r="4" spans="1:3" x14ac:dyDescent="0.2">
      <c r="A4" s="38"/>
      <c r="B4" s="38"/>
      <c r="C4" s="38"/>
    </row>
    <row r="5" spans="1:3" x14ac:dyDescent="0.2">
      <c r="A5" s="39"/>
      <c r="B5" s="122" t="s">
        <v>0</v>
      </c>
      <c r="C5" s="123"/>
    </row>
    <row r="6" spans="1:3" ht="21.75" customHeight="1" x14ac:dyDescent="0.2">
      <c r="A6" s="126" t="s">
        <v>1</v>
      </c>
      <c r="B6" s="124" t="s">
        <v>2</v>
      </c>
      <c r="C6" s="125"/>
    </row>
    <row r="7" spans="1:3" ht="26.25" customHeight="1" x14ac:dyDescent="0.2">
      <c r="A7" s="127"/>
      <c r="B7" s="40">
        <v>2018</v>
      </c>
      <c r="C7" s="41">
        <v>2017</v>
      </c>
    </row>
    <row r="8" spans="1:3" ht="37.5" customHeight="1" x14ac:dyDescent="0.2">
      <c r="A8" s="42" t="s">
        <v>47</v>
      </c>
      <c r="B8" s="43">
        <f>+Growth_Life!C39</f>
        <v>308679.20919500012</v>
      </c>
      <c r="C8" s="44">
        <v>289904.88310499996</v>
      </c>
    </row>
    <row r="9" spans="1:3" ht="20.100000000000001" customHeight="1" x14ac:dyDescent="0.2">
      <c r="A9" s="45" t="s">
        <v>3</v>
      </c>
      <c r="B9" s="46"/>
      <c r="C9" s="47"/>
    </row>
    <row r="10" spans="1:3" ht="20.100000000000001" customHeight="1" x14ac:dyDescent="0.2">
      <c r="A10" s="48" t="s">
        <v>4</v>
      </c>
      <c r="B10" s="49">
        <f>+Achiv_Life!B38</f>
        <v>26458.449856999992</v>
      </c>
      <c r="C10" s="17">
        <v>23946.519665999997</v>
      </c>
    </row>
    <row r="11" spans="1:3" ht="20.100000000000001" customHeight="1" x14ac:dyDescent="0.2">
      <c r="A11" s="48" t="s">
        <v>5</v>
      </c>
      <c r="B11" s="49">
        <f>+Achiv_Life!C38</f>
        <v>57887.09393399999</v>
      </c>
      <c r="C11" s="17">
        <v>52578.783098</v>
      </c>
    </row>
    <row r="12" spans="1:3" ht="20.100000000000001" customHeight="1" x14ac:dyDescent="0.2">
      <c r="A12" s="48" t="s">
        <v>6</v>
      </c>
      <c r="B12" s="49">
        <f>+Achiv_Life!D38</f>
        <v>5504.5610640000014</v>
      </c>
      <c r="C12" s="16">
        <v>4728.119318</v>
      </c>
    </row>
    <row r="13" spans="1:3" ht="20.100000000000001" customHeight="1" x14ac:dyDescent="0.2">
      <c r="A13" s="50"/>
      <c r="B13" s="49"/>
      <c r="C13" s="47"/>
    </row>
    <row r="14" spans="1:3" ht="20.100000000000001" customHeight="1" x14ac:dyDescent="0.2">
      <c r="A14" s="51" t="s">
        <v>7</v>
      </c>
      <c r="B14" s="52">
        <f>SUM(B10:B12)</f>
        <v>89850.104854999983</v>
      </c>
      <c r="C14" s="31">
        <f>SUM(C10:C12)</f>
        <v>81253.42208199999</v>
      </c>
    </row>
    <row r="15" spans="1:3" ht="20.100000000000001" customHeight="1" x14ac:dyDescent="0.2">
      <c r="A15" s="50"/>
      <c r="B15" s="49"/>
      <c r="C15" s="47"/>
    </row>
    <row r="16" spans="1:3" ht="20.100000000000001" customHeight="1" x14ac:dyDescent="0.2">
      <c r="A16" s="48" t="s">
        <v>8</v>
      </c>
      <c r="B16" s="52">
        <f>-(Achiv_Life!E38-Achiv_Life!F38)</f>
        <v>-272.96393699999317</v>
      </c>
      <c r="C16" s="44">
        <v>-306.00446600004216</v>
      </c>
    </row>
    <row r="17" spans="1:3" ht="20.100000000000001" customHeight="1" x14ac:dyDescent="0.2">
      <c r="A17" s="50"/>
      <c r="B17" s="49"/>
      <c r="C17" s="47"/>
    </row>
    <row r="18" spans="1:3" ht="20.100000000000001" customHeight="1" x14ac:dyDescent="0.2">
      <c r="A18" s="53" t="s">
        <v>9</v>
      </c>
      <c r="B18" s="31">
        <f>+B14+B16</f>
        <v>89577.14091799999</v>
      </c>
      <c r="C18" s="31">
        <f>+C14+C16</f>
        <v>80947.417615999948</v>
      </c>
    </row>
    <row r="19" spans="1:3" ht="20.100000000000001" customHeight="1" x14ac:dyDescent="0.2">
      <c r="A19" s="53"/>
      <c r="B19" s="31"/>
      <c r="C19" s="31"/>
    </row>
    <row r="20" spans="1:3" ht="20.100000000000001" customHeight="1" x14ac:dyDescent="0.2">
      <c r="A20" s="48" t="s">
        <v>231</v>
      </c>
      <c r="B20" s="52">
        <f>+RA_Life!M38</f>
        <v>26531.423136999998</v>
      </c>
      <c r="C20" s="44">
        <v>25755.236790999996</v>
      </c>
    </row>
    <row r="21" spans="1:3" ht="20.100000000000001" customHeight="1" x14ac:dyDescent="0.2">
      <c r="A21" s="50"/>
      <c r="B21" s="49"/>
      <c r="C21" s="47"/>
    </row>
    <row r="22" spans="1:3" ht="20.100000000000001" customHeight="1" x14ac:dyDescent="0.2">
      <c r="A22" s="51" t="s">
        <v>10</v>
      </c>
      <c r="B22" s="52">
        <f>+B8+B18+B20</f>
        <v>424787.77325000014</v>
      </c>
      <c r="C22" s="31">
        <f>+C8+C18+C20</f>
        <v>396607.53751199989</v>
      </c>
    </row>
    <row r="23" spans="1:3" ht="20.100000000000001" customHeight="1" x14ac:dyDescent="0.2">
      <c r="A23" s="50"/>
      <c r="B23" s="49"/>
      <c r="C23" s="54"/>
    </row>
    <row r="24" spans="1:3" ht="20.100000000000001" customHeight="1" x14ac:dyDescent="0.2">
      <c r="A24" s="48" t="s">
        <v>11</v>
      </c>
      <c r="B24" s="49">
        <f>+RA_Life!B38</f>
        <v>63703.241897000007</v>
      </c>
      <c r="C24" s="17">
        <v>56431.493862000003</v>
      </c>
    </row>
    <row r="25" spans="1:3" ht="20.100000000000001" customHeight="1" x14ac:dyDescent="0.2">
      <c r="A25" s="48" t="s">
        <v>12</v>
      </c>
      <c r="B25" s="49">
        <f>+RA_Life!C38</f>
        <v>5795.190869</v>
      </c>
      <c r="C25" s="17">
        <v>5036.9805889999989</v>
      </c>
    </row>
    <row r="26" spans="1:3" ht="20.100000000000001" customHeight="1" x14ac:dyDescent="0.2">
      <c r="A26" s="48" t="s">
        <v>13</v>
      </c>
      <c r="B26" s="49">
        <f>+RA_Life!D38</f>
        <v>11267.441244</v>
      </c>
      <c r="C26" s="17">
        <v>9302.8402310000001</v>
      </c>
    </row>
    <row r="27" spans="1:3" ht="20.100000000000001" customHeight="1" x14ac:dyDescent="0.2">
      <c r="A27" s="48" t="s">
        <v>14</v>
      </c>
      <c r="B27" s="49">
        <f>+RA_Life!E38</f>
        <v>16429.600802000004</v>
      </c>
      <c r="C27" s="17">
        <v>15204.517044000002</v>
      </c>
    </row>
    <row r="28" spans="1:3" ht="20.100000000000001" customHeight="1" x14ac:dyDescent="0.2">
      <c r="A28" s="51" t="s">
        <v>15</v>
      </c>
      <c r="B28" s="52">
        <f>SUM(B24:B27)</f>
        <v>97195.474812000015</v>
      </c>
      <c r="C28" s="31">
        <f>SUM(C24:C27)</f>
        <v>85975.831726000004</v>
      </c>
    </row>
    <row r="29" spans="1:3" ht="20.100000000000001" customHeight="1" x14ac:dyDescent="0.2">
      <c r="A29" s="51" t="s">
        <v>16</v>
      </c>
      <c r="B29" s="52">
        <f>+B22-B28</f>
        <v>327592.29843800014</v>
      </c>
      <c r="C29" s="31">
        <f>+C22-C28</f>
        <v>310631.70578599989</v>
      </c>
    </row>
  </sheetData>
  <mergeCells count="3">
    <mergeCell ref="B5:C5"/>
    <mergeCell ref="B6:C6"/>
    <mergeCell ref="A6:A7"/>
  </mergeCells>
  <pageMargins left="1" right="0.7" top="0.75" bottom="0.75" header="0.3" footer="0.3"/>
  <pageSetup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1"/>
  <sheetViews>
    <sheetView topLeftCell="A19" workbookViewId="0">
      <selection activeCell="B52" sqref="B52"/>
    </sheetView>
  </sheetViews>
  <sheetFormatPr defaultRowHeight="12.75" x14ac:dyDescent="0.2"/>
  <cols>
    <col min="1" max="1" width="11.7109375" style="3" customWidth="1"/>
    <col min="2" max="2" width="31" style="3" customWidth="1"/>
    <col min="3" max="3" width="15" style="3" customWidth="1"/>
    <col min="4" max="4" width="16.28515625" style="3" customWidth="1"/>
    <col min="5" max="5" width="17.5703125" style="3" customWidth="1"/>
    <col min="6" max="16384" width="9.140625" style="3"/>
  </cols>
  <sheetData>
    <row r="1" spans="1:5" x14ac:dyDescent="0.2">
      <c r="A1" s="55" t="s">
        <v>34</v>
      </c>
      <c r="B1" s="56"/>
      <c r="C1" s="56"/>
      <c r="D1" s="56"/>
      <c r="E1" s="56"/>
    </row>
    <row r="2" spans="1:5" x14ac:dyDescent="0.2">
      <c r="A2" s="55" t="s">
        <v>48</v>
      </c>
      <c r="B2" s="56"/>
      <c r="C2" s="56"/>
      <c r="D2" s="56"/>
      <c r="E2" s="56"/>
    </row>
    <row r="3" spans="1:5" x14ac:dyDescent="0.2">
      <c r="A3" s="55" t="s">
        <v>217</v>
      </c>
      <c r="B3" s="57"/>
      <c r="C3" s="57"/>
      <c r="D3" s="56"/>
      <c r="E3" s="56"/>
    </row>
    <row r="4" spans="1:5" ht="5.25" customHeight="1" x14ac:dyDescent="0.2">
      <c r="A4" s="55"/>
      <c r="B4" s="57"/>
      <c r="C4" s="57"/>
      <c r="D4" s="56"/>
      <c r="E4" s="56"/>
    </row>
    <row r="5" spans="1:5" x14ac:dyDescent="0.2">
      <c r="A5" s="58"/>
      <c r="B5" s="58"/>
      <c r="C5" s="58"/>
      <c r="D5" s="129" t="s">
        <v>0</v>
      </c>
      <c r="E5" s="129"/>
    </row>
    <row r="6" spans="1:5" ht="13.9" customHeight="1" x14ac:dyDescent="0.2">
      <c r="A6" s="112" t="s">
        <v>1</v>
      </c>
      <c r="B6" s="112"/>
      <c r="C6" s="27">
        <v>2018</v>
      </c>
      <c r="D6" s="41">
        <v>2017</v>
      </c>
      <c r="E6" s="27" t="s">
        <v>49</v>
      </c>
    </row>
    <row r="7" spans="1:5" ht="13.9" customHeight="1" x14ac:dyDescent="0.2">
      <c r="A7" s="114" t="s">
        <v>30</v>
      </c>
      <c r="B7" s="115"/>
      <c r="C7" s="115"/>
      <c r="D7" s="115"/>
      <c r="E7" s="116"/>
    </row>
    <row r="8" spans="1:5" ht="13.9" customHeight="1" x14ac:dyDescent="0.2">
      <c r="A8" s="113" t="s">
        <v>39</v>
      </c>
      <c r="B8" s="113"/>
      <c r="C8" s="35">
        <f>+BS_Non_Life!I52</f>
        <v>18993.509683000004</v>
      </c>
      <c r="D8" s="16">
        <v>18204.153034000006</v>
      </c>
      <c r="E8" s="17">
        <f t="shared" ref="E8:E13" si="0">ROUND((C8-D8)*100/D8,0)</f>
        <v>4</v>
      </c>
    </row>
    <row r="9" spans="1:5" ht="13.9" customHeight="1" x14ac:dyDescent="0.2">
      <c r="A9" s="134" t="s">
        <v>161</v>
      </c>
      <c r="B9" s="135"/>
      <c r="C9" s="35">
        <f>+BS_Non_Life!J52</f>
        <v>2008.3249049999999</v>
      </c>
      <c r="D9" s="16">
        <v>2028.6768749999999</v>
      </c>
      <c r="E9" s="17">
        <f t="shared" si="0"/>
        <v>-1</v>
      </c>
    </row>
    <row r="10" spans="1:5" ht="13.9" customHeight="1" x14ac:dyDescent="0.2">
      <c r="A10" s="113" t="s">
        <v>36</v>
      </c>
      <c r="B10" s="113"/>
      <c r="C10" s="35">
        <f>+BS_Non_Life!L52</f>
        <v>10086.799218</v>
      </c>
      <c r="D10" s="16">
        <v>9442.1619910000009</v>
      </c>
      <c r="E10" s="17">
        <f t="shared" si="0"/>
        <v>7</v>
      </c>
    </row>
    <row r="11" spans="1:5" ht="13.9" customHeight="1" x14ac:dyDescent="0.2">
      <c r="A11" s="113" t="s">
        <v>32</v>
      </c>
      <c r="B11" s="113"/>
      <c r="C11" s="35">
        <f>+BS_Non_Life!K52</f>
        <v>45607.129539999994</v>
      </c>
      <c r="D11" s="16">
        <v>43370.244732000006</v>
      </c>
      <c r="E11" s="17">
        <f t="shared" si="0"/>
        <v>5</v>
      </c>
    </row>
    <row r="12" spans="1:5" ht="13.9" customHeight="1" x14ac:dyDescent="0.2">
      <c r="A12" s="113" t="s">
        <v>37</v>
      </c>
      <c r="B12" s="113"/>
      <c r="C12" s="35">
        <f>+BS_Non_Life!M52</f>
        <v>36364.956954000001</v>
      </c>
      <c r="D12" s="16">
        <v>36156.790745999999</v>
      </c>
      <c r="E12" s="17">
        <f t="shared" si="0"/>
        <v>1</v>
      </c>
    </row>
    <row r="13" spans="1:5" ht="13.9" customHeight="1" x14ac:dyDescent="0.2">
      <c r="A13" s="117" t="s">
        <v>38</v>
      </c>
      <c r="B13" s="117"/>
      <c r="C13" s="36">
        <f>SUM(C8:C12)</f>
        <v>113060.72029999999</v>
      </c>
      <c r="D13" s="36">
        <f>SUM(D8:D12)</f>
        <v>109202.02737800001</v>
      </c>
      <c r="E13" s="17">
        <f t="shared" si="0"/>
        <v>4</v>
      </c>
    </row>
    <row r="14" spans="1:5" ht="13.9" customHeight="1" x14ac:dyDescent="0.2">
      <c r="A14" s="119"/>
      <c r="B14" s="120"/>
      <c r="C14" s="120"/>
      <c r="D14" s="120"/>
      <c r="E14" s="121"/>
    </row>
    <row r="15" spans="1:5" ht="13.9" customHeight="1" x14ac:dyDescent="0.2">
      <c r="A15" s="114" t="s">
        <v>40</v>
      </c>
      <c r="B15" s="115"/>
      <c r="C15" s="115"/>
      <c r="D15" s="115"/>
      <c r="E15" s="116"/>
    </row>
    <row r="16" spans="1:5" ht="13.9" customHeight="1" x14ac:dyDescent="0.2">
      <c r="A16" s="113" t="s">
        <v>23</v>
      </c>
      <c r="B16" s="113"/>
      <c r="C16" s="35">
        <f>+BS_Non_Life!B52</f>
        <v>20015.237063</v>
      </c>
      <c r="D16" s="35">
        <v>21495.040497000002</v>
      </c>
      <c r="E16" s="17">
        <f t="shared" ref="E16:E22" si="1">ROUND((C16-D16)*100/D16,0)</f>
        <v>-7</v>
      </c>
    </row>
    <row r="17" spans="1:5" ht="13.9" customHeight="1" x14ac:dyDescent="0.2">
      <c r="A17" s="113" t="s">
        <v>24</v>
      </c>
      <c r="B17" s="113"/>
      <c r="C17" s="35">
        <f>+BS_Non_Life!C52</f>
        <v>32757.227008999998</v>
      </c>
      <c r="D17" s="35">
        <v>31022.111992999999</v>
      </c>
      <c r="E17" s="17">
        <f t="shared" si="1"/>
        <v>6</v>
      </c>
    </row>
    <row r="18" spans="1:5" ht="13.9" customHeight="1" x14ac:dyDescent="0.2">
      <c r="A18" s="113" t="s">
        <v>41</v>
      </c>
      <c r="B18" s="113"/>
      <c r="C18" s="35">
        <f>+BS_Non_Life!F52</f>
        <v>31117.204560999995</v>
      </c>
      <c r="D18" s="35">
        <v>26385.082798999996</v>
      </c>
      <c r="E18" s="17">
        <f t="shared" si="1"/>
        <v>18</v>
      </c>
    </row>
    <row r="19" spans="1:5" ht="13.9" customHeight="1" x14ac:dyDescent="0.2">
      <c r="A19" s="113" t="s">
        <v>26</v>
      </c>
      <c r="B19" s="113"/>
      <c r="C19" s="35">
        <f>+BS_Non_Life!E52</f>
        <v>8302.0634099999988</v>
      </c>
      <c r="D19" s="35">
        <v>11292.640528000002</v>
      </c>
      <c r="E19" s="17">
        <f t="shared" si="1"/>
        <v>-26</v>
      </c>
    </row>
    <row r="20" spans="1:5" ht="13.9" customHeight="1" x14ac:dyDescent="0.2">
      <c r="A20" s="113" t="s">
        <v>42</v>
      </c>
      <c r="B20" s="113"/>
      <c r="C20" s="35">
        <f>+BS_Non_Life!G52</f>
        <v>14787.236919000001</v>
      </c>
      <c r="D20" s="35">
        <v>14251.292004999998</v>
      </c>
      <c r="E20" s="17">
        <f t="shared" si="1"/>
        <v>4</v>
      </c>
    </row>
    <row r="21" spans="1:5" ht="13.9" customHeight="1" x14ac:dyDescent="0.2">
      <c r="A21" s="113" t="s">
        <v>43</v>
      </c>
      <c r="B21" s="113"/>
      <c r="C21" s="35">
        <f>+BS_Non_Life!D52</f>
        <v>6081.7513380000019</v>
      </c>
      <c r="D21" s="35">
        <v>4845.860388000001</v>
      </c>
      <c r="E21" s="17">
        <f t="shared" si="1"/>
        <v>26</v>
      </c>
    </row>
    <row r="22" spans="1:5" ht="13.9" customHeight="1" x14ac:dyDescent="0.2">
      <c r="A22" s="117" t="s">
        <v>44</v>
      </c>
      <c r="B22" s="117"/>
      <c r="C22" s="36">
        <f>SUM(C16:C21)</f>
        <v>113060.7203</v>
      </c>
      <c r="D22" s="36">
        <f>SUM(D16:D21)</f>
        <v>109292.02821</v>
      </c>
      <c r="E22" s="17">
        <f t="shared" si="1"/>
        <v>3</v>
      </c>
    </row>
    <row r="23" spans="1:5" ht="13.9" customHeight="1" x14ac:dyDescent="0.2">
      <c r="A23" s="59"/>
      <c r="B23" s="59"/>
      <c r="C23" s="59"/>
      <c r="D23" s="59"/>
      <c r="E23" s="59"/>
    </row>
    <row r="24" spans="1:5" ht="13.9" customHeight="1" x14ac:dyDescent="0.2">
      <c r="A24" s="55" t="s">
        <v>45</v>
      </c>
      <c r="B24" s="60"/>
      <c r="C24" s="60"/>
      <c r="D24" s="60"/>
      <c r="E24" s="60"/>
    </row>
    <row r="25" spans="1:5" ht="13.9" customHeight="1" x14ac:dyDescent="0.2">
      <c r="A25" s="55" t="s">
        <v>50</v>
      </c>
      <c r="B25" s="60"/>
      <c r="C25" s="60"/>
      <c r="D25" s="60"/>
      <c r="E25" s="60"/>
    </row>
    <row r="26" spans="1:5" ht="13.9" customHeight="1" x14ac:dyDescent="0.2">
      <c r="A26" s="55" t="s">
        <v>216</v>
      </c>
      <c r="B26" s="60"/>
      <c r="C26" s="60"/>
      <c r="D26" s="60"/>
      <c r="E26" s="60"/>
    </row>
    <row r="27" spans="1:5" ht="13.9" customHeight="1" x14ac:dyDescent="0.2">
      <c r="A27" s="61"/>
      <c r="B27" s="59"/>
      <c r="C27" s="59"/>
      <c r="D27" s="59"/>
      <c r="E27" s="59"/>
    </row>
    <row r="28" spans="1:5" ht="13.9" customHeight="1" x14ac:dyDescent="0.2">
      <c r="A28" s="62"/>
      <c r="B28" s="59"/>
      <c r="C28" s="59"/>
      <c r="D28" s="129" t="s">
        <v>0</v>
      </c>
      <c r="E28" s="129"/>
    </row>
    <row r="29" spans="1:5" ht="13.9" customHeight="1" x14ac:dyDescent="0.2">
      <c r="A29" s="130" t="s">
        <v>1</v>
      </c>
      <c r="B29" s="131"/>
      <c r="C29" s="132"/>
      <c r="D29" s="112" t="s">
        <v>2</v>
      </c>
      <c r="E29" s="112"/>
    </row>
    <row r="30" spans="1:5" ht="13.9" customHeight="1" x14ac:dyDescent="0.2">
      <c r="A30" s="124"/>
      <c r="B30" s="133"/>
      <c r="C30" s="125"/>
      <c r="D30" s="41">
        <v>2018</v>
      </c>
      <c r="E30" s="41">
        <v>2017</v>
      </c>
    </row>
    <row r="31" spans="1:5" ht="13.9" customHeight="1" x14ac:dyDescent="0.2">
      <c r="A31" s="113" t="s">
        <v>47</v>
      </c>
      <c r="B31" s="113"/>
      <c r="C31" s="113"/>
      <c r="D31" s="35">
        <f>+RA_Non_Life!H52</f>
        <v>9350.2365009999994</v>
      </c>
      <c r="E31" s="35">
        <v>8433.4674590000013</v>
      </c>
    </row>
    <row r="32" spans="1:5" ht="13.9" customHeight="1" x14ac:dyDescent="0.2">
      <c r="A32" s="113" t="s">
        <v>9</v>
      </c>
      <c r="B32" s="113"/>
      <c r="C32" s="113"/>
      <c r="D32" s="35">
        <f>+RA_Non_Life!I52</f>
        <v>22801.366561999999</v>
      </c>
      <c r="E32" s="35">
        <v>20775.468999000004</v>
      </c>
    </row>
    <row r="33" spans="1:5" ht="13.9" customHeight="1" x14ac:dyDescent="0.2">
      <c r="A33" s="113" t="s">
        <v>51</v>
      </c>
      <c r="B33" s="113"/>
      <c r="C33" s="113"/>
      <c r="D33" s="35">
        <f>+RA_Non_Life!J52</f>
        <v>3286.3875429999998</v>
      </c>
      <c r="E33" s="35">
        <v>2796.7048860000009</v>
      </c>
    </row>
    <row r="34" spans="1:5" ht="13.9" customHeight="1" x14ac:dyDescent="0.2">
      <c r="A34" s="117" t="s">
        <v>19</v>
      </c>
      <c r="B34" s="117"/>
      <c r="C34" s="117"/>
      <c r="D34" s="36">
        <f>SUM(D31:D33)</f>
        <v>35437.990605999999</v>
      </c>
      <c r="E34" s="36">
        <f>SUM(E31:E33)</f>
        <v>32005.641344000003</v>
      </c>
    </row>
    <row r="35" spans="1:5" ht="13.9" customHeight="1" x14ac:dyDescent="0.2">
      <c r="A35" s="128"/>
      <c r="B35" s="128"/>
      <c r="C35" s="128"/>
      <c r="D35" s="128"/>
      <c r="E35" s="128"/>
    </row>
    <row r="36" spans="1:5" ht="13.9" customHeight="1" x14ac:dyDescent="0.2">
      <c r="A36" s="113" t="s">
        <v>52</v>
      </c>
      <c r="B36" s="113"/>
      <c r="C36" s="113"/>
      <c r="D36" s="35">
        <f>+RA_Non_Life!B52</f>
        <v>6357.7921749999996</v>
      </c>
      <c r="E36" s="35">
        <v>5556.9834379999993</v>
      </c>
    </row>
    <row r="37" spans="1:5" ht="13.9" customHeight="1" x14ac:dyDescent="0.2">
      <c r="A37" s="113" t="s">
        <v>53</v>
      </c>
      <c r="B37" s="113"/>
      <c r="C37" s="113"/>
      <c r="D37" s="35">
        <f>+RA_Non_Life!C52</f>
        <v>7590.0654770000001</v>
      </c>
      <c r="E37" s="35">
        <v>6896.2432340000014</v>
      </c>
    </row>
    <row r="38" spans="1:5" ht="13.9" customHeight="1" x14ac:dyDescent="0.2">
      <c r="A38" s="113" t="s">
        <v>54</v>
      </c>
      <c r="B38" s="113"/>
      <c r="C38" s="113"/>
      <c r="D38" s="35">
        <f>+RA_Non_Life!D52</f>
        <v>6090.5175609999988</v>
      </c>
      <c r="E38" s="35">
        <v>5264.3624399999999</v>
      </c>
    </row>
    <row r="39" spans="1:5" ht="13.9" customHeight="1" x14ac:dyDescent="0.2">
      <c r="A39" s="113" t="s">
        <v>55</v>
      </c>
      <c r="B39" s="113"/>
      <c r="C39" s="113"/>
      <c r="D39" s="35">
        <f>+RA_Non_Life!E52</f>
        <v>10086.799214000002</v>
      </c>
      <c r="E39" s="35">
        <v>9193.8892840000008</v>
      </c>
    </row>
    <row r="40" spans="1:5" ht="13.9" customHeight="1" x14ac:dyDescent="0.2">
      <c r="A40" s="113" t="s">
        <v>56</v>
      </c>
      <c r="B40" s="113"/>
      <c r="C40" s="113"/>
      <c r="D40" s="35">
        <f>+RA_Non_Life!F52</f>
        <v>5312.816796000001</v>
      </c>
      <c r="E40" s="35">
        <v>5094.1588040000006</v>
      </c>
    </row>
    <row r="41" spans="1:5" ht="13.9" customHeight="1" x14ac:dyDescent="0.2">
      <c r="A41" s="117" t="s">
        <v>19</v>
      </c>
      <c r="B41" s="117"/>
      <c r="C41" s="117"/>
      <c r="D41" s="36">
        <f>SUM(D36:D40)</f>
        <v>35437.991223000005</v>
      </c>
      <c r="E41" s="36">
        <f>SUM(E36:E40)</f>
        <v>32005.637200000005</v>
      </c>
    </row>
  </sheetData>
  <mergeCells count="32">
    <mergeCell ref="D5:E5"/>
    <mergeCell ref="A6:B6"/>
    <mergeCell ref="A7:E7"/>
    <mergeCell ref="A8:B8"/>
    <mergeCell ref="A10:B10"/>
    <mergeCell ref="A12:B12"/>
    <mergeCell ref="A11:B11"/>
    <mergeCell ref="A9:B9"/>
    <mergeCell ref="A22:B22"/>
    <mergeCell ref="A40:C40"/>
    <mergeCell ref="A37:C37"/>
    <mergeCell ref="A38:C38"/>
    <mergeCell ref="A39:C39"/>
    <mergeCell ref="A35:E35"/>
    <mergeCell ref="D28:E28"/>
    <mergeCell ref="A29:C30"/>
    <mergeCell ref="A17:B17"/>
    <mergeCell ref="A15:E15"/>
    <mergeCell ref="A16:B16"/>
    <mergeCell ref="A13:B13"/>
    <mergeCell ref="A14:E14"/>
    <mergeCell ref="A18:B18"/>
    <mergeCell ref="A41:C41"/>
    <mergeCell ref="A36:C36"/>
    <mergeCell ref="A19:B19"/>
    <mergeCell ref="D29:E29"/>
    <mergeCell ref="A31:C31"/>
    <mergeCell ref="A32:C32"/>
    <mergeCell ref="A33:C33"/>
    <mergeCell ref="A34:C34"/>
    <mergeCell ref="A20:B20"/>
    <mergeCell ref="A21:B21"/>
  </mergeCells>
  <pageMargins left="0.74" right="0" top="0" bottom="0" header="0.25" footer="0.25"/>
  <pageSetup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8" sqref="B38:M38"/>
    </sheetView>
  </sheetViews>
  <sheetFormatPr defaultRowHeight="12.75" x14ac:dyDescent="0.2"/>
  <cols>
    <col min="1" max="1" width="22.42578125" style="4" customWidth="1"/>
    <col min="2" max="2" width="10.7109375" style="4" customWidth="1"/>
    <col min="3" max="3" width="9.7109375" style="4" customWidth="1"/>
    <col min="4" max="4" width="11" style="4" customWidth="1"/>
    <col min="5" max="5" width="9.28515625" style="11" customWidth="1"/>
    <col min="6" max="6" width="10.5703125" style="11" customWidth="1"/>
    <col min="7" max="7" width="10.42578125" style="4" customWidth="1"/>
    <col min="8" max="8" width="11.140625" style="4" customWidth="1"/>
    <col min="9" max="9" width="9.85546875" style="4" customWidth="1"/>
    <col min="10" max="10" width="11.28515625" style="4" customWidth="1"/>
    <col min="11" max="11" width="9" style="4" customWidth="1"/>
    <col min="12" max="12" width="9.7109375" style="4" customWidth="1"/>
    <col min="13" max="13" width="11" style="4" customWidth="1"/>
    <col min="14" max="14" width="8.85546875" style="4" customWidth="1"/>
    <col min="15" max="16384" width="9.140625" style="4"/>
  </cols>
  <sheetData>
    <row r="1" spans="1:14" x14ac:dyDescent="0.2">
      <c r="A1" s="20" t="s">
        <v>218</v>
      </c>
      <c r="B1" s="37"/>
      <c r="C1" s="37"/>
      <c r="D1" s="37"/>
      <c r="E1" s="70"/>
      <c r="F1" s="70"/>
      <c r="G1" s="37"/>
      <c r="H1" s="37"/>
      <c r="I1" s="37"/>
      <c r="J1" s="37"/>
      <c r="K1" s="37"/>
      <c r="L1" s="37"/>
      <c r="M1" s="37"/>
    </row>
    <row r="2" spans="1:14" ht="14.25" x14ac:dyDescent="0.2">
      <c r="A2" s="71"/>
      <c r="B2" s="38"/>
      <c r="C2" s="38"/>
      <c r="D2" s="38"/>
      <c r="E2" s="72"/>
      <c r="F2" s="72"/>
      <c r="G2" s="38"/>
      <c r="H2" s="38"/>
      <c r="I2" s="38"/>
      <c r="J2" s="38"/>
      <c r="K2" s="38"/>
      <c r="L2" s="74" t="s">
        <v>0</v>
      </c>
      <c r="M2" s="73"/>
    </row>
    <row r="3" spans="1:14" ht="13.15" customHeight="1" x14ac:dyDescent="0.2">
      <c r="A3" s="137" t="s">
        <v>57</v>
      </c>
      <c r="B3" s="136" t="s">
        <v>21</v>
      </c>
      <c r="C3" s="136"/>
      <c r="D3" s="136"/>
      <c r="E3" s="136"/>
      <c r="F3" s="136"/>
      <c r="G3" s="136"/>
      <c r="H3" s="136"/>
      <c r="I3" s="136" t="s">
        <v>92</v>
      </c>
      <c r="J3" s="136"/>
      <c r="K3" s="136"/>
      <c r="L3" s="136"/>
      <c r="M3" s="136"/>
    </row>
    <row r="4" spans="1:14" ht="45" customHeight="1" x14ac:dyDescent="0.2">
      <c r="A4" s="137"/>
      <c r="B4" s="65" t="s">
        <v>23</v>
      </c>
      <c r="C4" s="65" t="s">
        <v>24</v>
      </c>
      <c r="D4" s="65" t="s">
        <v>90</v>
      </c>
      <c r="E4" s="65" t="s">
        <v>26</v>
      </c>
      <c r="F4" s="65" t="s">
        <v>27</v>
      </c>
      <c r="G4" s="65" t="s">
        <v>42</v>
      </c>
      <c r="H4" s="65" t="s">
        <v>91</v>
      </c>
      <c r="I4" s="65" t="s">
        <v>30</v>
      </c>
      <c r="J4" s="65" t="s">
        <v>93</v>
      </c>
      <c r="K4" s="65" t="s">
        <v>32</v>
      </c>
      <c r="L4" s="65" t="s">
        <v>33</v>
      </c>
      <c r="M4" s="65" t="s">
        <v>94</v>
      </c>
    </row>
    <row r="5" spans="1:14" ht="13.9" customHeight="1" x14ac:dyDescent="0.2">
      <c r="A5" s="66" t="s">
        <v>58</v>
      </c>
      <c r="B5" s="67">
        <f>(127079265150-31105182016)/1000000</f>
        <v>95974.083134</v>
      </c>
      <c r="C5" s="67">
        <f>31105182016/1000000</f>
        <v>31105.182015999999</v>
      </c>
      <c r="D5" s="67">
        <f>934444121/1000000</f>
        <v>934.444121</v>
      </c>
      <c r="E5" s="67">
        <v>0</v>
      </c>
      <c r="F5" s="67">
        <f>+(8390678965+671767006+4420191177+192587813)/1000000</f>
        <v>13675.224961</v>
      </c>
      <c r="G5" s="67">
        <f>350986617/1000000</f>
        <v>350.98661700000002</v>
      </c>
      <c r="H5" s="67">
        <f>+SUM(B5:G5)</f>
        <v>142039.92084899996</v>
      </c>
      <c r="I5" s="67">
        <f>300000000/1000000</f>
        <v>300</v>
      </c>
      <c r="J5" s="67">
        <f>119417989393/1000000</f>
        <v>119417.989393</v>
      </c>
      <c r="K5" s="67">
        <f>135008947/1000000</f>
        <v>135.00894700000001</v>
      </c>
      <c r="L5" s="67">
        <f>+(3880463428+4875858520+6954853928+4382960613+1494841334+597944686)/1000000</f>
        <v>22186.922509</v>
      </c>
      <c r="M5" s="67">
        <f>+SUM(I5:L5)</f>
        <v>142039.92084899999</v>
      </c>
      <c r="N5" s="5"/>
    </row>
    <row r="6" spans="1:14" ht="13.9" customHeight="1" x14ac:dyDescent="0.2">
      <c r="A6" s="66" t="s">
        <v>75</v>
      </c>
      <c r="B6" s="67">
        <f>15000000/1000000</f>
        <v>15</v>
      </c>
      <c r="C6" s="67">
        <f>153000000/1000000</f>
        <v>153</v>
      </c>
      <c r="D6" s="67">
        <f>+(175123540-153000000)/1000000</f>
        <v>22.123539999999998</v>
      </c>
      <c r="E6" s="67">
        <v>0</v>
      </c>
      <c r="F6" s="67">
        <f>(7940866+2077509+11316716+5386486+496963)/1000000</f>
        <v>27.218540000000001</v>
      </c>
      <c r="G6" s="67">
        <f>13670406/1000000</f>
        <v>13.670406</v>
      </c>
      <c r="H6" s="67">
        <f t="shared" ref="H6:H35" si="0">+SUM(B6:G6)</f>
        <v>231.01248599999997</v>
      </c>
      <c r="I6" s="67">
        <f>180000000/1000000</f>
        <v>180</v>
      </c>
      <c r="J6" s="67">
        <f>11791655/1000000</f>
        <v>11.791655</v>
      </c>
      <c r="K6" s="67">
        <f>15000000/1000000</f>
        <v>15</v>
      </c>
      <c r="L6" s="67">
        <f>24220828/1000000</f>
        <v>24.220828000000001</v>
      </c>
      <c r="M6" s="67">
        <f t="shared" ref="M6:M35" si="1">+SUM(I6:L6)</f>
        <v>231.012483</v>
      </c>
      <c r="N6" s="5"/>
    </row>
    <row r="7" spans="1:14" ht="13.9" customHeight="1" x14ac:dyDescent="0.2">
      <c r="A7" s="66" t="s">
        <v>76</v>
      </c>
      <c r="B7" s="67">
        <f>258849456/1000000</f>
        <v>258.84945599999998</v>
      </c>
      <c r="C7" s="67">
        <v>0</v>
      </c>
      <c r="D7" s="67">
        <f>+(23951528+135282+161328102)/1000000</f>
        <v>185.41491199999999</v>
      </c>
      <c r="E7" s="67">
        <v>0</v>
      </c>
      <c r="F7" s="67">
        <f>+(1416943+70798956+20138840+178172282+91327501+20000)/1000000</f>
        <v>361.87452200000001</v>
      </c>
      <c r="G7" s="67">
        <f>333930261/1000000</f>
        <v>333.93026099999997</v>
      </c>
      <c r="H7" s="67">
        <f t="shared" si="0"/>
        <v>1140.0691509999999</v>
      </c>
      <c r="I7" s="67">
        <f>182160000/1000000</f>
        <v>182.16</v>
      </c>
      <c r="J7" s="67">
        <f>928572279/1000000</f>
        <v>928.57227899999998</v>
      </c>
      <c r="K7" s="67">
        <v>0</v>
      </c>
      <c r="L7" s="67">
        <f>+(3930600+23580272+1826000)/1000000</f>
        <v>29.336872</v>
      </c>
      <c r="M7" s="67">
        <f t="shared" si="1"/>
        <v>1140.0691510000001</v>
      </c>
      <c r="N7" s="5"/>
    </row>
    <row r="8" spans="1:14" ht="13.9" customHeight="1" x14ac:dyDescent="0.2">
      <c r="A8" s="66" t="s">
        <v>59</v>
      </c>
      <c r="B8" s="67">
        <f>25917671/1000000</f>
        <v>25.917670999999999</v>
      </c>
      <c r="C8" s="67">
        <f>136340470/1000000</f>
        <v>136.34047000000001</v>
      </c>
      <c r="D8" s="67">
        <f>+(147843229-136340470)/1000000</f>
        <v>11.502758999999999</v>
      </c>
      <c r="E8" s="67">
        <f>11271467/1000000</f>
        <v>11.271466999999999</v>
      </c>
      <c r="F8" s="67">
        <f>+(289877+31069492+21419712+561432+1229931)/1000000</f>
        <v>54.570444000000002</v>
      </c>
      <c r="G8" s="67">
        <f>24277771/1000000</f>
        <v>24.277771000000001</v>
      </c>
      <c r="H8" s="67">
        <f t="shared" si="0"/>
        <v>263.880582</v>
      </c>
      <c r="I8" s="67">
        <f>180000000/1000000</f>
        <v>180</v>
      </c>
      <c r="J8" s="67">
        <f>25498924/1000000</f>
        <v>25.498923999999999</v>
      </c>
      <c r="K8" s="67">
        <v>0</v>
      </c>
      <c r="L8" s="67">
        <f>+(40719155+16979849+682654)/1000000</f>
        <v>58.381658000000002</v>
      </c>
      <c r="M8" s="67">
        <f t="shared" si="1"/>
        <v>263.880582</v>
      </c>
      <c r="N8" s="5"/>
    </row>
    <row r="9" spans="1:14" ht="13.9" customHeight="1" x14ac:dyDescent="0.2">
      <c r="A9" s="66" t="s">
        <v>77</v>
      </c>
      <c r="B9" s="67">
        <f>(15000000+2473270)/1000000</f>
        <v>17.473269999999999</v>
      </c>
      <c r="C9" s="67">
        <f>162552249/1000000</f>
        <v>162.55224899999999</v>
      </c>
      <c r="D9" s="67">
        <f>+(25634841+182521)/1000000</f>
        <v>25.817361999999999</v>
      </c>
      <c r="E9" s="67">
        <f>277294/1000000</f>
        <v>0.27729399999999998</v>
      </c>
      <c r="F9" s="67">
        <f>+(496967+13610416+10423827+2382325+735127)/1000000</f>
        <v>27.648662000000002</v>
      </c>
      <c r="G9" s="67">
        <f>28379716/1000000</f>
        <v>28.379715999999998</v>
      </c>
      <c r="H9" s="67">
        <f>+SUM(B9:G9)</f>
        <v>262.14855299999999</v>
      </c>
      <c r="I9" s="67">
        <f>180000000/1000000</f>
        <v>180</v>
      </c>
      <c r="J9" s="67">
        <f>42435356/1000000</f>
        <v>42.435355999999999</v>
      </c>
      <c r="K9" s="67">
        <v>0</v>
      </c>
      <c r="L9" s="67">
        <f>+(1000000+3116305+19820371+780000+12021504+2975017)/1000000</f>
        <v>39.713197000000001</v>
      </c>
      <c r="M9" s="67">
        <f t="shared" si="1"/>
        <v>262.14855299999999</v>
      </c>
      <c r="N9" s="5"/>
    </row>
    <row r="10" spans="1:14" ht="13.9" customHeight="1" x14ac:dyDescent="0.2">
      <c r="A10" s="66" t="s">
        <v>78</v>
      </c>
      <c r="B10" s="67">
        <f>26330775068/1000000</f>
        <v>26330.775067999999</v>
      </c>
      <c r="C10" s="67">
        <f>9682191807/1000000</f>
        <v>9682.1918069999992</v>
      </c>
      <c r="D10" s="67">
        <f>+(11123244567-9682191807)/1000000</f>
        <v>1441.05276</v>
      </c>
      <c r="E10" s="67">
        <f>875405724/1000000</f>
        <v>875.40572399999996</v>
      </c>
      <c r="F10" s="67">
        <f>+(748116070+42360+735878203+1473569523+1940230102+8604828)/1000000</f>
        <v>4906.4410859999998</v>
      </c>
      <c r="G10" s="67">
        <f>689813992/1000000</f>
        <v>689.81399199999998</v>
      </c>
      <c r="H10" s="67">
        <f t="shared" si="0"/>
        <v>43925.680436999995</v>
      </c>
      <c r="I10" s="67">
        <f>1237500000/1000000</f>
        <v>1237.5</v>
      </c>
      <c r="J10" s="67">
        <f>38296734105/1000000</f>
        <v>38296.734105000003</v>
      </c>
      <c r="K10" s="67">
        <f>1000000/1000000</f>
        <v>1</v>
      </c>
      <c r="L10" s="67">
        <f>+(2242226046+2148220286)/1000000</f>
        <v>4390.4463320000004</v>
      </c>
      <c r="M10" s="67">
        <f t="shared" si="1"/>
        <v>43925.680437000003</v>
      </c>
      <c r="N10" s="5"/>
    </row>
    <row r="11" spans="1:14" ht="13.9" customHeight="1" x14ac:dyDescent="0.2">
      <c r="A11" s="66" t="s">
        <v>232</v>
      </c>
      <c r="B11" s="67">
        <f>15000000/1000000</f>
        <v>15</v>
      </c>
      <c r="C11" s="67">
        <f>120000000/1000000</f>
        <v>120</v>
      </c>
      <c r="D11" s="67">
        <f>+(144360214-120000000)/1000000</f>
        <v>24.360213999999999</v>
      </c>
      <c r="E11" s="67">
        <f>8728373/1000000</f>
        <v>8.7283729999999995</v>
      </c>
      <c r="F11" s="67">
        <f>+(1370024+70005)/1000000</f>
        <v>1.440029</v>
      </c>
      <c r="G11" s="67">
        <f>35570535/1000000</f>
        <v>35.570535</v>
      </c>
      <c r="H11" s="67">
        <f t="shared" si="0"/>
        <v>205.09915100000001</v>
      </c>
      <c r="I11" s="67">
        <f>180000000/1000000</f>
        <v>180</v>
      </c>
      <c r="J11" s="67">
        <f>-41775613/1000000</f>
        <v>-41.775613</v>
      </c>
      <c r="K11" s="67">
        <f>15000000/1000000</f>
        <v>15</v>
      </c>
      <c r="L11" s="67">
        <f>+(14789433+8922021+4852200+475000+22836109)/1000000</f>
        <v>51.874763000000002</v>
      </c>
      <c r="M11" s="67">
        <f t="shared" si="1"/>
        <v>205.09915000000001</v>
      </c>
      <c r="N11" s="5"/>
    </row>
    <row r="12" spans="1:14" ht="13.9" customHeight="1" x14ac:dyDescent="0.2">
      <c r="A12" s="66" t="s">
        <v>60</v>
      </c>
      <c r="B12" s="67">
        <f>10570552091/1000000</f>
        <v>10570.552091</v>
      </c>
      <c r="C12" s="67">
        <f>4043910566/1000000</f>
        <v>4043.910566</v>
      </c>
      <c r="D12" s="67">
        <f>+(3558212871+112508)/1000000</f>
        <v>3558.3253789999999</v>
      </c>
      <c r="E12" s="67">
        <f>105373879/1000000</f>
        <v>105.373879</v>
      </c>
      <c r="F12" s="67">
        <f>+(669212401+1066113754+553882778+7770515274+6503232+8856321)/1000000</f>
        <v>10075.08376</v>
      </c>
      <c r="G12" s="67">
        <f>14053114139/1000000</f>
        <v>14053.114138999999</v>
      </c>
      <c r="H12" s="67">
        <f t="shared" si="0"/>
        <v>42406.359813999996</v>
      </c>
      <c r="I12" s="67">
        <f>747427510/1000000</f>
        <v>747.42750999999998</v>
      </c>
      <c r="J12" s="67">
        <f>36726998361/1000000</f>
        <v>36726.998360999998</v>
      </c>
      <c r="K12" s="67">
        <v>0</v>
      </c>
      <c r="L12" s="67">
        <f>4931933943/1000000</f>
        <v>4931.933943</v>
      </c>
      <c r="M12" s="67">
        <f t="shared" si="1"/>
        <v>42406.359813999996</v>
      </c>
      <c r="N12" s="5"/>
    </row>
    <row r="13" spans="1:14" ht="13.9" customHeight="1" x14ac:dyDescent="0.2">
      <c r="A13" s="66" t="s">
        <v>61</v>
      </c>
      <c r="B13" s="67">
        <f>4000000/1000000</f>
        <v>4</v>
      </c>
      <c r="C13" s="67">
        <f>43568420/1000000</f>
        <v>43.568420000000003</v>
      </c>
      <c r="D13" s="67">
        <f>+(59732398+204983)/1000000</f>
        <v>59.937381000000002</v>
      </c>
      <c r="E13" s="67">
        <f>124286085/1000000</f>
        <v>124.286085</v>
      </c>
      <c r="F13" s="67">
        <f>+(6417933+29483133+1119294+124723202+2336801)/1000000</f>
        <v>164.08036300000001</v>
      </c>
      <c r="G13" s="67">
        <f>1531911383/1000000</f>
        <v>1531.9113829999999</v>
      </c>
      <c r="H13" s="67">
        <f t="shared" si="0"/>
        <v>1927.7836319999999</v>
      </c>
      <c r="I13" s="67">
        <f>30000000/1000000</f>
        <v>30</v>
      </c>
      <c r="J13" s="67">
        <f>700421165/1000000</f>
        <v>700.42116499999997</v>
      </c>
      <c r="K13" s="67">
        <v>0</v>
      </c>
      <c r="L13" s="67">
        <f>+(1052028+1196310440)/1000000</f>
        <v>1197.362468</v>
      </c>
      <c r="M13" s="67">
        <f t="shared" si="1"/>
        <v>1927.783633</v>
      </c>
      <c r="N13" s="5"/>
    </row>
    <row r="14" spans="1:14" ht="13.9" customHeight="1" x14ac:dyDescent="0.2">
      <c r="A14" s="66" t="s">
        <v>62</v>
      </c>
      <c r="B14" s="67">
        <f>351700000/1000000</f>
        <v>351.7</v>
      </c>
      <c r="C14" s="67">
        <f>1427344464/1000000</f>
        <v>1427.344464</v>
      </c>
      <c r="D14" s="67">
        <f>30551235/1000000</f>
        <v>30.551234999999998</v>
      </c>
      <c r="E14" s="67">
        <f>69253113/1000000</f>
        <v>69.253112999999999</v>
      </c>
      <c r="F14" s="67">
        <f>+(154612+173559887+66268090+438565)/1000000</f>
        <v>240.421154</v>
      </c>
      <c r="G14" s="67">
        <f>15358253/1000000</f>
        <v>15.358252999999999</v>
      </c>
      <c r="H14" s="67">
        <f t="shared" si="0"/>
        <v>2134.6282189999997</v>
      </c>
      <c r="I14" s="67">
        <f>182000000/1000000</f>
        <v>182</v>
      </c>
      <c r="J14" s="67">
        <f>1662830402/1000000</f>
        <v>1662.830402</v>
      </c>
      <c r="K14" s="67">
        <v>0</v>
      </c>
      <c r="L14" s="67">
        <f>289797817/1000000</f>
        <v>289.79781700000001</v>
      </c>
      <c r="M14" s="67">
        <f t="shared" si="1"/>
        <v>2134.6282190000002</v>
      </c>
      <c r="N14" s="5"/>
    </row>
    <row r="15" spans="1:14" ht="13.9" customHeight="1" x14ac:dyDescent="0.2">
      <c r="A15" s="66" t="s">
        <v>72</v>
      </c>
      <c r="B15" s="67">
        <f>1223376250/1000000</f>
        <v>1223.37625</v>
      </c>
      <c r="C15" s="67">
        <f>142000000/1000000</f>
        <v>142</v>
      </c>
      <c r="D15" s="67">
        <f>+(692018937-142000000)/1000000</f>
        <v>550.01893700000005</v>
      </c>
      <c r="E15" s="67">
        <f>698042449/1000000</f>
        <v>698.04244900000003</v>
      </c>
      <c r="F15" s="67">
        <f>+(16038502+5554647+139857354+43266271+4038956)/1000000</f>
        <v>208.75573</v>
      </c>
      <c r="G15" s="67">
        <f>452382975/1000000</f>
        <v>452.38297499999999</v>
      </c>
      <c r="H15" s="67">
        <f t="shared" si="0"/>
        <v>3274.576341</v>
      </c>
      <c r="I15" s="67">
        <f>30000000/1000000</f>
        <v>30</v>
      </c>
      <c r="J15" s="67">
        <f>2831777860/1000000</f>
        <v>2831.7778600000001</v>
      </c>
      <c r="K15" s="67">
        <f>330868845/1000000</f>
        <v>330.86884500000002</v>
      </c>
      <c r="L15" s="67">
        <f>+(30731704+23848787+1495767+24565584+1287794)/1000000</f>
        <v>81.929636000000002</v>
      </c>
      <c r="M15" s="67">
        <f t="shared" si="1"/>
        <v>3274.576341</v>
      </c>
      <c r="N15" s="5"/>
    </row>
    <row r="16" spans="1:14" ht="13.9" customHeight="1" x14ac:dyDescent="0.2">
      <c r="A16" s="66" t="s">
        <v>63</v>
      </c>
      <c r="B16" s="67">
        <f>115042392/1000000</f>
        <v>115.04239200000001</v>
      </c>
      <c r="C16" s="67">
        <f>40000000/1000000</f>
        <v>40</v>
      </c>
      <c r="D16" s="67">
        <f>+(51483599-40000000)/1000000</f>
        <v>11.483599</v>
      </c>
      <c r="E16" s="67">
        <v>0</v>
      </c>
      <c r="F16" s="67">
        <f>+(30284+16021838+4119021+15849426+449822)/1000000</f>
        <v>36.470390999999999</v>
      </c>
      <c r="G16" s="67">
        <f>28266352/1000000</f>
        <v>28.266352000000001</v>
      </c>
      <c r="H16" s="67">
        <f t="shared" si="0"/>
        <v>231.26273400000002</v>
      </c>
      <c r="I16" s="67">
        <f>180000000/1000000</f>
        <v>180</v>
      </c>
      <c r="J16" s="67">
        <f>-38368031/1000000</f>
        <v>-38.368031000000002</v>
      </c>
      <c r="K16" s="67">
        <f>445897/1000000</f>
        <v>0.44589699999999999</v>
      </c>
      <c r="L16" s="67">
        <f>+(89184868)/1000000</f>
        <v>89.184867999999994</v>
      </c>
      <c r="M16" s="67">
        <f t="shared" si="1"/>
        <v>231.26273399999999</v>
      </c>
      <c r="N16" s="5"/>
    </row>
    <row r="17" spans="1:14" ht="13.9" customHeight="1" x14ac:dyDescent="0.2">
      <c r="A17" s="66" t="s">
        <v>64</v>
      </c>
      <c r="B17" s="67">
        <f>35000000/1000000</f>
        <v>35</v>
      </c>
      <c r="C17" s="67">
        <v>0</v>
      </c>
      <c r="D17" s="67">
        <f>521193660/1000000</f>
        <v>521.19366000000002</v>
      </c>
      <c r="E17" s="67">
        <v>0</v>
      </c>
      <c r="F17" s="67">
        <f>+(14208262+25698806)/1000000</f>
        <v>39.907068000000002</v>
      </c>
      <c r="G17" s="67">
        <f>23506416/1000000</f>
        <v>23.506416000000002</v>
      </c>
      <c r="H17" s="67">
        <f t="shared" si="0"/>
        <v>619.60714400000006</v>
      </c>
      <c r="I17" s="67">
        <f>600000000/1000000</f>
        <v>600</v>
      </c>
      <c r="J17" s="67">
        <f>1947862/1000000</f>
        <v>1.947862</v>
      </c>
      <c r="K17" s="67">
        <v>0</v>
      </c>
      <c r="L17" s="67">
        <f>+(15000000+2659282)/1000000</f>
        <v>17.659282000000001</v>
      </c>
      <c r="M17" s="67">
        <f t="shared" si="1"/>
        <v>619.60714399999995</v>
      </c>
      <c r="N17" s="5"/>
    </row>
    <row r="18" spans="1:14" ht="13.9" customHeight="1" x14ac:dyDescent="0.2">
      <c r="A18" s="66" t="s">
        <v>65</v>
      </c>
      <c r="B18" s="67">
        <f>+(6475564183-718783435)/1000000</f>
        <v>5756.7807480000001</v>
      </c>
      <c r="C18" s="67">
        <f>5243720000/1000000</f>
        <v>5243.72</v>
      </c>
      <c r="D18" s="67">
        <f>+(7343117198-5243720000)/1000000</f>
        <v>2099.3971980000001</v>
      </c>
      <c r="E18" s="67">
        <f>336832491/1000000</f>
        <v>336.832491</v>
      </c>
      <c r="F18" s="67">
        <f>+(91186128+470431+4114441+10236505+9392826+200163650+1801741073+403245149+1519475059)/1000000</f>
        <v>4040.0252620000001</v>
      </c>
      <c r="G18" s="67">
        <f>+(718783435+190000050)/1000000</f>
        <v>908.78348500000004</v>
      </c>
      <c r="H18" s="67">
        <f t="shared" si="0"/>
        <v>18385.539184000001</v>
      </c>
      <c r="I18" s="67">
        <f>335219130/1000000</f>
        <v>335.21913000000001</v>
      </c>
      <c r="J18" s="67">
        <f>16867329039/1000000</f>
        <v>16867.329039</v>
      </c>
      <c r="K18" s="67">
        <v>0</v>
      </c>
      <c r="L18" s="67">
        <f>+(263923449+6191773+911652263+1223530)/1000000</f>
        <v>1182.9910150000001</v>
      </c>
      <c r="M18" s="67">
        <f t="shared" si="1"/>
        <v>18385.539184000001</v>
      </c>
      <c r="N18" s="5"/>
    </row>
    <row r="19" spans="1:14" ht="13.9" customHeight="1" x14ac:dyDescent="0.2">
      <c r="A19" s="66" t="s">
        <v>79</v>
      </c>
      <c r="B19" s="67">
        <f>15000000/1000000</f>
        <v>15</v>
      </c>
      <c r="C19" s="67">
        <f>154147101/1000000</f>
        <v>154.14710099999999</v>
      </c>
      <c r="D19" s="67">
        <f>+(161851155-154147101-93464)/1000000</f>
        <v>7.6105900000000002</v>
      </c>
      <c r="E19" s="67">
        <v>0</v>
      </c>
      <c r="F19" s="67">
        <f>+(15553081+157059+18330581+3261884+12550659+1387285+366358+93464)/1000000</f>
        <v>51.700370999999997</v>
      </c>
      <c r="G19" s="67">
        <f>12624639/1000000</f>
        <v>12.624639</v>
      </c>
      <c r="H19" s="67">
        <f t="shared" si="0"/>
        <v>241.08270099999999</v>
      </c>
      <c r="I19" s="67">
        <f>180000000/1000000</f>
        <v>180</v>
      </c>
      <c r="J19" s="67">
        <f>37225222/1000000</f>
        <v>37.225222000000002</v>
      </c>
      <c r="K19" s="67">
        <f>15000000/1000000</f>
        <v>15</v>
      </c>
      <c r="L19" s="67">
        <f>+(350000+748153+7759326)/1000000</f>
        <v>8.8574789999999997</v>
      </c>
      <c r="M19" s="67">
        <f t="shared" si="1"/>
        <v>241.08270100000001</v>
      </c>
      <c r="N19" s="5"/>
    </row>
    <row r="20" spans="1:14" ht="13.9" customHeight="1" x14ac:dyDescent="0.2">
      <c r="A20" s="66" t="s">
        <v>66</v>
      </c>
      <c r="B20" s="67">
        <f>14473156136/1000000</f>
        <v>14473.156136</v>
      </c>
      <c r="C20" s="67">
        <f>15496998473/1000000</f>
        <v>15496.998473</v>
      </c>
      <c r="D20" s="67">
        <f>+(17668632250-15496998473)/1000000</f>
        <v>2171.633777</v>
      </c>
      <c r="E20" s="67">
        <f>108748322/1000000</f>
        <v>108.748322</v>
      </c>
      <c r="F20" s="67">
        <f>+(1046661280+320500000+8677285+2718557176+1611961142+2520898179+2061487+7637895)/1000000</f>
        <v>8236.9544440000009</v>
      </c>
      <c r="G20" s="67">
        <f>+(1194712548+255610592+689929680)/1000000</f>
        <v>2140.2528200000002</v>
      </c>
      <c r="H20" s="67">
        <f t="shared" si="0"/>
        <v>42627.743971999997</v>
      </c>
      <c r="I20" s="67">
        <f>1085219810/1000000</f>
        <v>1085.2198100000001</v>
      </c>
      <c r="J20" s="67">
        <f>34615557543/1000000</f>
        <v>34615.557543000003</v>
      </c>
      <c r="K20" s="67">
        <v>0</v>
      </c>
      <c r="L20" s="67">
        <f>+(66361044+35837432+6824768143)/1000000</f>
        <v>6926.9666189999998</v>
      </c>
      <c r="M20" s="67">
        <f t="shared" si="1"/>
        <v>42627.743972000004</v>
      </c>
      <c r="N20" s="5"/>
    </row>
    <row r="21" spans="1:14" ht="13.9" customHeight="1" x14ac:dyDescent="0.2">
      <c r="A21" s="66" t="s">
        <v>67</v>
      </c>
      <c r="B21" s="67">
        <f>+(16000000)/1000000</f>
        <v>16</v>
      </c>
      <c r="C21" s="67">
        <f>148003920/1000000</f>
        <v>148.00391999999999</v>
      </c>
      <c r="D21" s="67">
        <f>80457/1000000</f>
        <v>8.0457000000000001E-2</v>
      </c>
      <c r="E21" s="67">
        <v>0</v>
      </c>
      <c r="F21" s="67">
        <f>+(19800+4169405+3022466+8205501+293458+407123)/1000000</f>
        <v>16.117753</v>
      </c>
      <c r="G21" s="67">
        <f>11328094/1000000</f>
        <v>11.328094</v>
      </c>
      <c r="H21" s="67">
        <f t="shared" si="0"/>
        <v>191.53022399999998</v>
      </c>
      <c r="I21" s="67">
        <f>180000000/1000000</f>
        <v>180</v>
      </c>
      <c r="J21" s="67">
        <f>-21904446/1000000</f>
        <v>-21.904446</v>
      </c>
      <c r="K21" s="67">
        <f>15000000/1000000</f>
        <v>15</v>
      </c>
      <c r="L21" s="67">
        <f>+(2187762+16246908)/1000000</f>
        <v>18.434670000000001</v>
      </c>
      <c r="M21" s="67">
        <f t="shared" si="1"/>
        <v>191.530224</v>
      </c>
      <c r="N21" s="5"/>
    </row>
    <row r="22" spans="1:14" ht="13.9" customHeight="1" x14ac:dyDescent="0.2">
      <c r="A22" s="66" t="s">
        <v>73</v>
      </c>
      <c r="B22" s="67">
        <f>15000000/1000000</f>
        <v>15</v>
      </c>
      <c r="C22" s="67">
        <f>85000000/1000000</f>
        <v>85</v>
      </c>
      <c r="D22" s="67">
        <f>+(15659247+808333)/1000000</f>
        <v>16.467580000000002</v>
      </c>
      <c r="E22" s="67">
        <v>0</v>
      </c>
      <c r="F22" s="67">
        <f>+(20000+787830+42451628+445185)/1000000</f>
        <v>43.704642999999997</v>
      </c>
      <c r="G22" s="67">
        <f>47079589/1000000</f>
        <v>47.079588999999999</v>
      </c>
      <c r="H22" s="67">
        <f t="shared" si="0"/>
        <v>207.251812</v>
      </c>
      <c r="I22" s="67">
        <f>180000000/1000000</f>
        <v>180</v>
      </c>
      <c r="J22" s="67">
        <f>1156738/1000000</f>
        <v>1.156738</v>
      </c>
      <c r="K22" s="67">
        <v>0</v>
      </c>
      <c r="L22" s="67">
        <f>26095074/1000000</f>
        <v>26.095074</v>
      </c>
      <c r="M22" s="67">
        <f t="shared" si="1"/>
        <v>207.251812</v>
      </c>
      <c r="N22" s="5"/>
    </row>
    <row r="23" spans="1:14" ht="13.9" customHeight="1" x14ac:dyDescent="0.2">
      <c r="A23" s="66" t="s">
        <v>212</v>
      </c>
      <c r="B23" s="67">
        <f>+(1942016866-515274376)/1000000</f>
        <v>1426.7424900000001</v>
      </c>
      <c r="C23" s="67">
        <f>860000000/1000000</f>
        <v>860</v>
      </c>
      <c r="D23" s="67">
        <f>+(1005864878-860000000)/1000000</f>
        <v>145.864878</v>
      </c>
      <c r="E23" s="67">
        <f>2005759/1000000</f>
        <v>2.0057589999999998</v>
      </c>
      <c r="F23" s="67">
        <f>+(31450858+191037308+329042+67850059+76669720+4061639)/1000000</f>
        <v>371.39862599999998</v>
      </c>
      <c r="G23" s="67">
        <f>+(515274376+14589329)/1000000</f>
        <v>529.86370499999998</v>
      </c>
      <c r="H23" s="67">
        <f t="shared" si="0"/>
        <v>3335.8754580000004</v>
      </c>
      <c r="I23" s="67">
        <f>128657760/1000000</f>
        <v>128.65776</v>
      </c>
      <c r="J23" s="67">
        <f>2756011175/1000000</f>
        <v>2756.0111750000001</v>
      </c>
      <c r="K23" s="67">
        <v>0</v>
      </c>
      <c r="L23" s="67">
        <f>+(22378146+444450091-15621713)/1000000</f>
        <v>451.206524</v>
      </c>
      <c r="M23" s="67">
        <f t="shared" si="1"/>
        <v>3335.8754590000003</v>
      </c>
      <c r="N23" s="5"/>
    </row>
    <row r="24" spans="1:14" ht="13.9" customHeight="1" x14ac:dyDescent="0.2">
      <c r="A24" s="66" t="s">
        <v>68</v>
      </c>
      <c r="B24" s="67">
        <f>3085217864/1000000</f>
        <v>3085.2178640000002</v>
      </c>
      <c r="C24" s="67">
        <f>746328455/1000000</f>
        <v>746.32845499999996</v>
      </c>
      <c r="D24" s="67">
        <f>+(2458172029-746328455)/1000000</f>
        <v>1711.843574</v>
      </c>
      <c r="E24" s="67">
        <f>193352856/1000000</f>
        <v>193.352856</v>
      </c>
      <c r="F24" s="67">
        <f>+(100582161+1453185+553421695+257566351+399355533+6931031)/1000000</f>
        <v>1319.3099560000001</v>
      </c>
      <c r="G24" s="67">
        <f>2867580285/1000000</f>
        <v>2867.580285</v>
      </c>
      <c r="H24" s="67">
        <f t="shared" si="0"/>
        <v>9923.6329900000001</v>
      </c>
      <c r="I24" s="67">
        <f>305202300/1000000</f>
        <v>305.20229999999998</v>
      </c>
      <c r="J24" s="67">
        <f>8809887941/1000000</f>
        <v>8809.8879410000009</v>
      </c>
      <c r="K24" s="67">
        <v>0</v>
      </c>
      <c r="L24" s="67">
        <f>+(29601+386140412+15866781+402597600+3908355)/1000000</f>
        <v>808.54274899999996</v>
      </c>
      <c r="M24" s="67">
        <f t="shared" si="1"/>
        <v>9923.6329900000019</v>
      </c>
      <c r="N24" s="5"/>
    </row>
    <row r="25" spans="1:14" ht="13.9" customHeight="1" x14ac:dyDescent="0.2">
      <c r="A25" s="66" t="s">
        <v>80</v>
      </c>
      <c r="B25" s="67">
        <f>9117843426/1000000</f>
        <v>9117.8434259999995</v>
      </c>
      <c r="C25" s="67">
        <f>4280305718/1000000</f>
        <v>4280.3057179999996</v>
      </c>
      <c r="D25" s="67">
        <f>+(6510073720-4280305718)/1000000</f>
        <v>2229.7680019999998</v>
      </c>
      <c r="E25" s="67">
        <f>91332160/1000000</f>
        <v>91.332160000000002</v>
      </c>
      <c r="F25" s="67">
        <f>+(77934823+1112124703+693581842+994582+1978327133+23844570)/1000000</f>
        <v>3886.8076529999998</v>
      </c>
      <c r="G25" s="67">
        <f>39584242/1000000</f>
        <v>39.584242000000003</v>
      </c>
      <c r="H25" s="67">
        <f t="shared" si="0"/>
        <v>19645.641201000002</v>
      </c>
      <c r="I25" s="67">
        <f>604283580/1000000</f>
        <v>604.28358000000003</v>
      </c>
      <c r="J25" s="67">
        <f>17871494506/1000000</f>
        <v>17871.494505999999</v>
      </c>
      <c r="K25" s="67">
        <f>505120083/1000000</f>
        <v>505.12008300000002</v>
      </c>
      <c r="L25" s="67">
        <f>+(31949061+2055021+33360941+83569175+457416231+33231763+23160840)/1000000</f>
        <v>664.74303199999997</v>
      </c>
      <c r="M25" s="67">
        <f t="shared" si="1"/>
        <v>19645.641200999999</v>
      </c>
      <c r="N25" s="5"/>
    </row>
    <row r="26" spans="1:14" ht="13.9" customHeight="1" x14ac:dyDescent="0.2">
      <c r="A26" s="66" t="s">
        <v>81</v>
      </c>
      <c r="B26" s="67">
        <f>396806485/1000000</f>
        <v>396.80648500000001</v>
      </c>
      <c r="C26" s="67">
        <f>83271578/1000000</f>
        <v>83.271578000000005</v>
      </c>
      <c r="D26" s="67">
        <f>+(437826175+409503)/1000000</f>
        <v>438.23567800000001</v>
      </c>
      <c r="E26" s="67">
        <v>0</v>
      </c>
      <c r="F26" s="67">
        <f>+(592973+96182153+22968311+300747674+3348736)/1000000</f>
        <v>423.83984700000002</v>
      </c>
      <c r="G26" s="67">
        <f>896507330/1000000</f>
        <v>896.50733000000002</v>
      </c>
      <c r="H26" s="67">
        <f t="shared" si="0"/>
        <v>2238.660918</v>
      </c>
      <c r="I26" s="67">
        <f>388800000/1000000</f>
        <v>388.8</v>
      </c>
      <c r="J26" s="67">
        <f>453967301/1000000</f>
        <v>453.96730100000002</v>
      </c>
      <c r="K26" s="67">
        <f>24444201/1000000</f>
        <v>24.444201</v>
      </c>
      <c r="L26" s="67">
        <f>+(5608509+1365840907)/1000000</f>
        <v>1371.4494159999999</v>
      </c>
      <c r="M26" s="67">
        <f t="shared" si="1"/>
        <v>2238.660918</v>
      </c>
      <c r="N26" s="5"/>
    </row>
    <row r="27" spans="1:14" ht="13.9" customHeight="1" x14ac:dyDescent="0.2">
      <c r="A27" s="66" t="s">
        <v>82</v>
      </c>
      <c r="B27" s="67">
        <f>2658276231/1000000</f>
        <v>2658.2762309999998</v>
      </c>
      <c r="C27" s="67">
        <f>1961908747/1000000</f>
        <v>1961.9087469999999</v>
      </c>
      <c r="D27" s="67">
        <f>+(2298194123-1961908747)/1000000</f>
        <v>336.28537599999999</v>
      </c>
      <c r="E27" s="67">
        <f>88943338/1000000</f>
        <v>88.943337999999997</v>
      </c>
      <c r="F27" s="67">
        <f>+(34444058+183877825+134768937+281274359+8172652)/1000000</f>
        <v>642.53783099999998</v>
      </c>
      <c r="G27" s="67">
        <f>+(73397273+1133996)/1000000</f>
        <v>74.531268999999995</v>
      </c>
      <c r="H27" s="67">
        <f t="shared" si="0"/>
        <v>5762.4827919999989</v>
      </c>
      <c r="I27" s="67">
        <f>133491750/1000000</f>
        <v>133.49175</v>
      </c>
      <c r="J27" s="67">
        <f>5549406180/1000000</f>
        <v>5549.4061799999999</v>
      </c>
      <c r="K27" s="67">
        <v>0</v>
      </c>
      <c r="L27" s="67">
        <f>+(7064352+68450463+285742992+10881797-292554742)/1000000</f>
        <v>79.584862000000001</v>
      </c>
      <c r="M27" s="67">
        <f t="shared" si="1"/>
        <v>5762.4827919999998</v>
      </c>
      <c r="N27" s="5"/>
    </row>
    <row r="28" spans="1:14" ht="13.9" customHeight="1" x14ac:dyDescent="0.2">
      <c r="A28" s="66" t="s">
        <v>74</v>
      </c>
      <c r="B28" s="67">
        <f>1395209943/1000000</f>
        <v>1395.2099430000001</v>
      </c>
      <c r="C28" s="67">
        <f>767174637/1000000</f>
        <v>767.17463699999996</v>
      </c>
      <c r="D28" s="67">
        <f>+(2060478943-767174637)/1000000</f>
        <v>1293.304306</v>
      </c>
      <c r="E28" s="68">
        <v>0</v>
      </c>
      <c r="F28" s="67">
        <f>+(78788431+410382883+344724594+170252110+255253808+5337126)/1000000</f>
        <v>1264.7389519999999</v>
      </c>
      <c r="G28" s="67">
        <f>731019193/1000000</f>
        <v>731.01919299999997</v>
      </c>
      <c r="H28" s="67">
        <f t="shared" si="0"/>
        <v>5451.4470309999997</v>
      </c>
      <c r="I28" s="67">
        <f>288487480/1000000</f>
        <v>288.48748000000001</v>
      </c>
      <c r="J28" s="67">
        <f>4503993651/1000000</f>
        <v>4503.9936509999998</v>
      </c>
      <c r="K28" s="67">
        <f>227604538/1000000</f>
        <v>227.60453799999999</v>
      </c>
      <c r="L28" s="67">
        <f>+(240166080+4184729+187010551)/1000000</f>
        <v>431.36135999999999</v>
      </c>
      <c r="M28" s="67">
        <f t="shared" si="1"/>
        <v>5451.447028999999</v>
      </c>
      <c r="N28" s="5"/>
    </row>
    <row r="29" spans="1:14" ht="13.9" customHeight="1" x14ac:dyDescent="0.2">
      <c r="A29" s="66" t="s">
        <v>69</v>
      </c>
      <c r="B29" s="67">
        <f>3611831916/1000000</f>
        <v>3611.8319160000001</v>
      </c>
      <c r="C29" s="67">
        <f>3418686332/1000000</f>
        <v>3418.6863320000002</v>
      </c>
      <c r="D29" s="67">
        <f>+(187329781+1167139)/1000000</f>
        <v>188.49691999999999</v>
      </c>
      <c r="E29" s="67">
        <f>60196678/1000000</f>
        <v>60.196677999999999</v>
      </c>
      <c r="F29" s="67">
        <f>+(79785161+439663854+1029439051+543989601+31383596+36383214+3488739)/1000000</f>
        <v>2164.1332160000002</v>
      </c>
      <c r="G29" s="67">
        <f>1417555215/1000000</f>
        <v>1417.5552150000001</v>
      </c>
      <c r="H29" s="67">
        <f t="shared" si="0"/>
        <v>10860.900277000001</v>
      </c>
      <c r="I29" s="67">
        <f>1096986331/1000000</f>
        <v>1096.9863310000001</v>
      </c>
      <c r="J29" s="67">
        <f>8372691788/1000000</f>
        <v>8372.6917880000001</v>
      </c>
      <c r="K29" s="67">
        <f>633842397/1000000</f>
        <v>633.84239700000001</v>
      </c>
      <c r="L29" s="67">
        <f>+(11985018+745394743)/1000000</f>
        <v>757.37976100000003</v>
      </c>
      <c r="M29" s="67">
        <f t="shared" si="1"/>
        <v>10860.900277000001</v>
      </c>
      <c r="N29" s="5"/>
    </row>
    <row r="30" spans="1:14" ht="13.9" customHeight="1" x14ac:dyDescent="0.2">
      <c r="A30" s="66" t="s">
        <v>70</v>
      </c>
      <c r="B30" s="67">
        <f>538586075/1000000</f>
        <v>538.58607500000005</v>
      </c>
      <c r="C30" s="67">
        <f>149887162/1000000</f>
        <v>149.88716199999999</v>
      </c>
      <c r="D30" s="67">
        <f>+(539202974-149887162)/1000000</f>
        <v>389.31581199999999</v>
      </c>
      <c r="E30" s="67">
        <f>430526340/1000000</f>
        <v>430.52634</v>
      </c>
      <c r="F30" s="67">
        <f>+(4655603+1455032+163673536+104228386+6236312)/1000000</f>
        <v>280.24886900000001</v>
      </c>
      <c r="G30" s="67">
        <f>70509642/1000000</f>
        <v>70.509641999999999</v>
      </c>
      <c r="H30" s="67">
        <f t="shared" si="0"/>
        <v>1859.0738999999999</v>
      </c>
      <c r="I30" s="67">
        <f>30000000/1000000</f>
        <v>30</v>
      </c>
      <c r="J30" s="67">
        <f>1641905563/1000000</f>
        <v>1641.905563</v>
      </c>
      <c r="K30" s="67">
        <v>0</v>
      </c>
      <c r="L30" s="67">
        <f>+(19949595+167218742)/1000000</f>
        <v>187.16833700000001</v>
      </c>
      <c r="M30" s="67">
        <f t="shared" si="1"/>
        <v>1859.0739000000001</v>
      </c>
      <c r="N30" s="5"/>
    </row>
    <row r="31" spans="1:14" ht="13.9" customHeight="1" x14ac:dyDescent="0.2">
      <c r="A31" s="66" t="s">
        <v>83</v>
      </c>
      <c r="B31" s="67">
        <f>653804591/1000000</f>
        <v>653.80459099999996</v>
      </c>
      <c r="C31" s="67">
        <f>386097887/1000000</f>
        <v>386.09788700000001</v>
      </c>
      <c r="D31" s="67">
        <f>+(814801164-386097887)/1000000</f>
        <v>428.70327700000001</v>
      </c>
      <c r="E31" s="67">
        <v>0</v>
      </c>
      <c r="F31" s="67">
        <f>+(4020459+117508+356187315+25893630+354939156+1179770+6964224)/1000000</f>
        <v>749.30206199999998</v>
      </c>
      <c r="G31" s="67">
        <f>+(558108900+165372400)/1000000</f>
        <v>723.48130000000003</v>
      </c>
      <c r="H31" s="67">
        <f t="shared" si="0"/>
        <v>2941.3891170000002</v>
      </c>
      <c r="I31" s="67">
        <f>357606900/1000000</f>
        <v>357.6069</v>
      </c>
      <c r="J31" s="67">
        <f>2408602367/1000000</f>
        <v>2408.602367</v>
      </c>
      <c r="K31" s="67">
        <f>13145528/1000000</f>
        <v>13.145528000000001</v>
      </c>
      <c r="L31" s="67">
        <f>+(2798199+159236123)/1000000</f>
        <v>162.034322</v>
      </c>
      <c r="M31" s="67">
        <f>+SUM(I31:L31)</f>
        <v>2941.3891170000002</v>
      </c>
      <c r="N31" s="5"/>
    </row>
    <row r="32" spans="1:14" ht="13.9" customHeight="1" x14ac:dyDescent="0.2">
      <c r="A32" s="66" t="s">
        <v>84</v>
      </c>
      <c r="B32" s="67">
        <f>231517651/1000000</f>
        <v>231.517651</v>
      </c>
      <c r="C32" s="67">
        <f>233400000/1000000</f>
        <v>233.4</v>
      </c>
      <c r="D32" s="67">
        <f>+(395445110-233400000)/1000000</f>
        <v>162.04510999999999</v>
      </c>
      <c r="E32" s="67">
        <f>28141412/1000000</f>
        <v>28.141411999999999</v>
      </c>
      <c r="F32" s="67">
        <f>+(18527657+43525012+50583)/1000000</f>
        <v>62.103251999999998</v>
      </c>
      <c r="G32" s="67">
        <f>+(182158391+47594472)/1000000</f>
        <v>229.75286299999999</v>
      </c>
      <c r="H32" s="67">
        <f t="shared" si="0"/>
        <v>946.96028799999999</v>
      </c>
      <c r="I32" s="67">
        <f>+(285000000+15000000)/1000000</f>
        <v>300</v>
      </c>
      <c r="J32" s="67">
        <f>601487636/1000000</f>
        <v>601.48763599999995</v>
      </c>
      <c r="K32" s="67">
        <v>0</v>
      </c>
      <c r="L32" s="67">
        <f>+(45472652)/1000000</f>
        <v>45.472651999999997</v>
      </c>
      <c r="M32" s="67">
        <f t="shared" si="1"/>
        <v>946.96028799999999</v>
      </c>
      <c r="N32" s="5"/>
    </row>
    <row r="33" spans="1:14" ht="13.9" customHeight="1" x14ac:dyDescent="0.2">
      <c r="A33" s="66" t="s">
        <v>71</v>
      </c>
      <c r="B33" s="67">
        <f>15000000/1000000</f>
        <v>15</v>
      </c>
      <c r="C33" s="67">
        <f>131040000/1000000</f>
        <v>131.04</v>
      </c>
      <c r="D33" s="67">
        <f>+(133742988-131040000)/1000000</f>
        <v>2.7029879999999999</v>
      </c>
      <c r="E33" s="67">
        <v>0</v>
      </c>
      <c r="F33" s="67">
        <f>+(10051861+6236938+5640664+9175+156755+550801)/1000000</f>
        <v>22.646194000000001</v>
      </c>
      <c r="G33" s="67">
        <f>9389342/1000000</f>
        <v>9.3893419999999992</v>
      </c>
      <c r="H33" s="67">
        <f t="shared" si="0"/>
        <v>180.778524</v>
      </c>
      <c r="I33" s="67">
        <f>180000000/1000000</f>
        <v>180</v>
      </c>
      <c r="J33" s="67">
        <f>-27079495/1000000</f>
        <v>-27.079495000000001</v>
      </c>
      <c r="K33" s="67">
        <v>0</v>
      </c>
      <c r="L33" s="67">
        <f>27858019/1000000</f>
        <v>27.858018999999999</v>
      </c>
      <c r="M33" s="67">
        <f t="shared" si="1"/>
        <v>180.778524</v>
      </c>
      <c r="N33" s="5"/>
    </row>
    <row r="34" spans="1:14" ht="13.9" customHeight="1" x14ac:dyDescent="0.2">
      <c r="A34" s="66" t="s">
        <v>85</v>
      </c>
      <c r="B34" s="67">
        <f>15000000/1000000</f>
        <v>15</v>
      </c>
      <c r="C34" s="67">
        <f>140000000/1000000</f>
        <v>140</v>
      </c>
      <c r="D34" s="67">
        <f>+(462560+33726223+287840+26349220)/1000000</f>
        <v>60.825842999999999</v>
      </c>
      <c r="E34" s="67">
        <f>559083/1000000</f>
        <v>0.559083</v>
      </c>
      <c r="F34" s="67">
        <f>+(218200+9307277+11000127+994031+32280+1515437)/1000000</f>
        <v>23.067352</v>
      </c>
      <c r="G34" s="67">
        <f>18494744/1000000</f>
        <v>18.494744000000001</v>
      </c>
      <c r="H34" s="67">
        <f t="shared" si="0"/>
        <v>257.947022</v>
      </c>
      <c r="I34" s="67">
        <f>180000000/1000000</f>
        <v>180</v>
      </c>
      <c r="J34" s="67">
        <f>3705082/1000000</f>
        <v>3.705082</v>
      </c>
      <c r="K34" s="67">
        <f>15000000/1000000</f>
        <v>15</v>
      </c>
      <c r="L34" s="67">
        <f>+(2815337+747519+16771191+6563143+9941044+22000000+403706)/1000000</f>
        <v>59.24194</v>
      </c>
      <c r="M34" s="67">
        <f t="shared" si="1"/>
        <v>257.947022</v>
      </c>
      <c r="N34" s="5"/>
    </row>
    <row r="35" spans="1:14" ht="13.9" customHeight="1" x14ac:dyDescent="0.2">
      <c r="A35" s="66" t="s">
        <v>86</v>
      </c>
      <c r="B35" s="67">
        <f>15000000/1000000</f>
        <v>15</v>
      </c>
      <c r="C35" s="67">
        <f>131200000/1000000</f>
        <v>131.19999999999999</v>
      </c>
      <c r="D35" s="67">
        <f>+(722773+30058+492631)/1000000</f>
        <v>1.2454620000000001</v>
      </c>
      <c r="E35" s="67">
        <v>0</v>
      </c>
      <c r="F35" s="67">
        <f>+(71000+35810423+1257785+25071155+698295)/1000000</f>
        <v>62.908658000000003</v>
      </c>
      <c r="G35" s="67">
        <f>11947721/1000000</f>
        <v>11.947721</v>
      </c>
      <c r="H35" s="67">
        <f t="shared" si="0"/>
        <v>222.301841</v>
      </c>
      <c r="I35" s="67">
        <f>180000000/1000000</f>
        <v>180</v>
      </c>
      <c r="J35" s="67">
        <f>-53051945/1000000</f>
        <v>-53.051945000000003</v>
      </c>
      <c r="K35" s="67">
        <f>15000000/1000000</f>
        <v>15</v>
      </c>
      <c r="L35" s="67">
        <f>+(35879039+44474747)/1000000</f>
        <v>80.353785999999999</v>
      </c>
      <c r="M35" s="67">
        <f t="shared" si="1"/>
        <v>222.30184100000002</v>
      </c>
      <c r="N35" s="5"/>
    </row>
    <row r="36" spans="1:14" ht="13.9" customHeight="1" x14ac:dyDescent="0.2">
      <c r="A36" s="63" t="s">
        <v>87</v>
      </c>
      <c r="B36" s="84">
        <f>SUM(B5:B35)</f>
        <v>178373.54288800003</v>
      </c>
      <c r="C36" s="84">
        <f t="shared" ref="C36:M36" si="2">SUM(C5:C35)</f>
        <v>81473.260001999981</v>
      </c>
      <c r="D36" s="84">
        <f t="shared" si="2"/>
        <v>19060.052687000003</v>
      </c>
      <c r="E36" s="84">
        <f t="shared" si="2"/>
        <v>3233.2768229999997</v>
      </c>
      <c r="F36" s="84">
        <f t="shared" si="2"/>
        <v>53480.681651000006</v>
      </c>
      <c r="G36" s="84">
        <f t="shared" si="2"/>
        <v>28321.454294000003</v>
      </c>
      <c r="H36" s="84">
        <f t="shared" si="2"/>
        <v>363942.26834499993</v>
      </c>
      <c r="I36" s="84">
        <f t="shared" si="2"/>
        <v>10343.042551</v>
      </c>
      <c r="J36" s="84">
        <f t="shared" si="2"/>
        <v>304959.23956400005</v>
      </c>
      <c r="K36" s="84">
        <f t="shared" si="2"/>
        <v>1961.4804360000003</v>
      </c>
      <c r="L36" s="84">
        <f t="shared" si="2"/>
        <v>46678.505789999996</v>
      </c>
      <c r="M36" s="84">
        <f t="shared" si="2"/>
        <v>363942.26834099996</v>
      </c>
      <c r="N36" s="5"/>
    </row>
    <row r="37" spans="1:14" ht="13.9" customHeight="1" x14ac:dyDescent="0.2">
      <c r="A37" s="66" t="s">
        <v>88</v>
      </c>
      <c r="B37" s="67">
        <f>5504026751/1000000</f>
        <v>5504.0267510000003</v>
      </c>
      <c r="C37" s="69">
        <f>8634768559/1000000</f>
        <v>8634.7685590000001</v>
      </c>
      <c r="D37" s="67">
        <f>+(9828770713-8634768559)/1000000</f>
        <v>1194.002154</v>
      </c>
      <c r="E37" s="67">
        <f>1196507565/1000000</f>
        <v>1196.5075650000001</v>
      </c>
      <c r="F37" s="67">
        <f>+(2573981549+569142+468210330+1283339031+4131406+4957521+6175045+448539)/1000000</f>
        <v>4341.8125630000004</v>
      </c>
      <c r="G37" s="67">
        <f>+(36218876+17720235+3065706)/1000000</f>
        <v>57.004817000000003</v>
      </c>
      <c r="H37" s="67">
        <f>+SUM(B37:G37)</f>
        <v>20928.122409000003</v>
      </c>
      <c r="I37" s="67">
        <f>50000000/1000000</f>
        <v>50</v>
      </c>
      <c r="J37" s="67">
        <f>19251712994/1000000</f>
        <v>19251.712994000001</v>
      </c>
      <c r="K37" s="67">
        <f>155759000/1000000</f>
        <v>155.75899999999999</v>
      </c>
      <c r="L37" s="67">
        <f>+(479332233+2549013+294832305+693936863)/1000000</f>
        <v>1470.650414</v>
      </c>
      <c r="M37" s="67">
        <f>+SUM(I37:L37)</f>
        <v>20928.122407999999</v>
      </c>
      <c r="N37" s="5"/>
    </row>
    <row r="38" spans="1:14" ht="13.9" customHeight="1" x14ac:dyDescent="0.2">
      <c r="A38" s="63" t="s">
        <v>89</v>
      </c>
      <c r="B38" s="84">
        <f>+B36+B37</f>
        <v>183877.56963900002</v>
      </c>
      <c r="C38" s="84">
        <f t="shared" ref="C38:M38" si="3">+C36+C37</f>
        <v>90108.028560999985</v>
      </c>
      <c r="D38" s="84">
        <f t="shared" si="3"/>
        <v>20254.054841000005</v>
      </c>
      <c r="E38" s="84">
        <f t="shared" si="3"/>
        <v>4429.784388</v>
      </c>
      <c r="F38" s="84">
        <f t="shared" si="3"/>
        <v>57822.494214000006</v>
      </c>
      <c r="G38" s="84">
        <f t="shared" si="3"/>
        <v>28378.459111000004</v>
      </c>
      <c r="H38" s="84">
        <f>+H36+H37</f>
        <v>384870.39075399993</v>
      </c>
      <c r="I38" s="84">
        <f t="shared" si="3"/>
        <v>10393.042551</v>
      </c>
      <c r="J38" s="84">
        <f t="shared" si="3"/>
        <v>324210.95255800005</v>
      </c>
      <c r="K38" s="84">
        <f t="shared" si="3"/>
        <v>2117.2394360000003</v>
      </c>
      <c r="L38" s="84">
        <f t="shared" si="3"/>
        <v>48149.156203999999</v>
      </c>
      <c r="M38" s="84">
        <f t="shared" si="3"/>
        <v>384870.39074899995</v>
      </c>
      <c r="N38" s="5"/>
    </row>
  </sheetData>
  <mergeCells count="3">
    <mergeCell ref="B3:H3"/>
    <mergeCell ref="I3:M3"/>
    <mergeCell ref="A3:A4"/>
  </mergeCells>
  <pageMargins left="0.2" right="0.1" top="0.5" bottom="0.3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J4" sqref="J4"/>
    </sheetView>
  </sheetViews>
  <sheetFormatPr defaultRowHeight="10.5" x14ac:dyDescent="0.2"/>
  <cols>
    <col min="1" max="1" width="21.5703125" style="77" customWidth="1"/>
    <col min="2" max="2" width="9.5703125" style="77" bestFit="1" customWidth="1"/>
    <col min="3" max="3" width="9.28515625" style="77" customWidth="1"/>
    <col min="4" max="4" width="9.42578125" style="77" customWidth="1"/>
    <col min="5" max="5" width="9.7109375" style="77" bestFit="1" customWidth="1"/>
    <col min="6" max="6" width="9.7109375" style="77" customWidth="1"/>
    <col min="7" max="7" width="8.7109375" style="77" customWidth="1"/>
    <col min="8" max="8" width="10.7109375" style="77" customWidth="1"/>
    <col min="9" max="9" width="8.5703125" style="77" customWidth="1"/>
    <col min="10" max="10" width="10.5703125" style="77" customWidth="1"/>
    <col min="11" max="11" width="10.28515625" style="77" customWidth="1"/>
    <col min="12" max="12" width="9.5703125" style="77" customWidth="1"/>
    <col min="13" max="13" width="9.7109375" style="82" customWidth="1"/>
    <col min="14" max="14" width="10.28515625" style="77" customWidth="1"/>
    <col min="15" max="16384" width="9.140625" style="77"/>
  </cols>
  <sheetData>
    <row r="1" spans="1:15" ht="12.75" x14ac:dyDescent="0.2">
      <c r="A1" s="20" t="s">
        <v>219</v>
      </c>
      <c r="B1" s="37"/>
      <c r="C1" s="37"/>
      <c r="D1" s="37"/>
      <c r="E1" s="37"/>
      <c r="F1" s="37"/>
      <c r="G1" s="37"/>
      <c r="H1" s="37"/>
      <c r="I1" s="37"/>
      <c r="J1" s="37"/>
      <c r="K1" s="75"/>
      <c r="L1" s="75"/>
      <c r="M1" s="76"/>
      <c r="N1" s="75"/>
    </row>
    <row r="2" spans="1:15" x14ac:dyDescent="0.2">
      <c r="A2" s="78"/>
      <c r="M2" s="138" t="s">
        <v>0</v>
      </c>
      <c r="N2" s="138"/>
    </row>
    <row r="3" spans="1:15" ht="13.15" customHeight="1" x14ac:dyDescent="0.2">
      <c r="A3" s="137" t="s">
        <v>57</v>
      </c>
      <c r="B3" s="136" t="s">
        <v>95</v>
      </c>
      <c r="C3" s="136"/>
      <c r="D3" s="136"/>
      <c r="E3" s="136"/>
      <c r="F3" s="136"/>
      <c r="G3" s="136"/>
      <c r="H3" s="136"/>
      <c r="I3" s="136"/>
      <c r="J3" s="136"/>
      <c r="K3" s="136" t="s">
        <v>96</v>
      </c>
      <c r="L3" s="136"/>
      <c r="M3" s="136"/>
      <c r="N3" s="136"/>
    </row>
    <row r="4" spans="1:15" ht="37.9" customHeight="1" x14ac:dyDescent="0.2">
      <c r="A4" s="137"/>
      <c r="B4" s="65" t="s">
        <v>98</v>
      </c>
      <c r="C4" s="65" t="s">
        <v>99</v>
      </c>
      <c r="D4" s="65" t="s">
        <v>54</v>
      </c>
      <c r="E4" s="65" t="s">
        <v>100</v>
      </c>
      <c r="F4" s="65" t="s">
        <v>101</v>
      </c>
      <c r="G4" s="65" t="s">
        <v>102</v>
      </c>
      <c r="H4" s="65" t="s">
        <v>103</v>
      </c>
      <c r="I4" s="65" t="s">
        <v>104</v>
      </c>
      <c r="J4" s="65" t="s">
        <v>97</v>
      </c>
      <c r="K4" s="65" t="s">
        <v>105</v>
      </c>
      <c r="L4" s="65" t="s">
        <v>9</v>
      </c>
      <c r="M4" s="65" t="s">
        <v>210</v>
      </c>
      <c r="N4" s="65" t="s">
        <v>19</v>
      </c>
    </row>
    <row r="5" spans="1:15" ht="13.9" customHeight="1" x14ac:dyDescent="0.2">
      <c r="A5" s="79" t="s">
        <v>58</v>
      </c>
      <c r="B5" s="80">
        <f>+(10826309087+4971922641)/1000000</f>
        <v>15798.231728000001</v>
      </c>
      <c r="C5" s="80">
        <f>1432083945/1000000</f>
        <v>1432.0839450000001</v>
      </c>
      <c r="D5" s="80">
        <f>2826163488/1000000</f>
        <v>2826.1634880000001</v>
      </c>
      <c r="E5" s="80">
        <f>+(924650838+31997091+4224502+20206513+79384491+40361983+1680553231+31597200+101054806)/1000000</f>
        <v>2914.030655</v>
      </c>
      <c r="F5" s="80">
        <f>+C5+D5+E5</f>
        <v>7172.2780880000009</v>
      </c>
      <c r="G5" s="80">
        <v>0</v>
      </c>
      <c r="H5" s="80">
        <f>119417989393/1000000</f>
        <v>119417.989393</v>
      </c>
      <c r="I5" s="80">
        <f>2312703864/1000000</f>
        <v>2312.7038640000001</v>
      </c>
      <c r="J5" s="80">
        <f>B5+F5+G5+H5+I5</f>
        <v>144701.20307300001</v>
      </c>
      <c r="K5" s="80">
        <f>105775560622/1000000</f>
        <v>105775.560622</v>
      </c>
      <c r="L5" s="80">
        <f>26635620209/1000000</f>
        <v>26635.620209000001</v>
      </c>
      <c r="M5" s="80">
        <f>+(12268627298+21394944)/1000000</f>
        <v>12290.022241999999</v>
      </c>
      <c r="N5" s="80">
        <f t="shared" ref="N5:N35" si="0">+SUM(K5:M5)</f>
        <v>144701.20307300001</v>
      </c>
      <c r="O5" s="81"/>
    </row>
    <row r="6" spans="1:15" ht="13.9" customHeight="1" x14ac:dyDescent="0.2">
      <c r="A6" s="66" t="s">
        <v>75</v>
      </c>
      <c r="B6" s="67">
        <f>7400263/1000000</f>
        <v>7.4002629999999998</v>
      </c>
      <c r="C6" s="67">
        <f>19114822/1000000</f>
        <v>19.114822</v>
      </c>
      <c r="D6" s="67">
        <f>20094998/1000000</f>
        <v>20.094998</v>
      </c>
      <c r="E6" s="67">
        <f>+(21525727+253150+8772807)/1000000</f>
        <v>30.551684000000002</v>
      </c>
      <c r="F6" s="67">
        <f t="shared" ref="F6:F37" si="1">+C6+D6+E6</f>
        <v>69.761504000000002</v>
      </c>
      <c r="G6" s="67">
        <v>0</v>
      </c>
      <c r="H6" s="67">
        <f>11791655/1000000</f>
        <v>11.791655</v>
      </c>
      <c r="I6" s="67">
        <v>0</v>
      </c>
      <c r="J6" s="67">
        <f t="shared" ref="J6:J37" si="2">B6+F6+G6+H6+I6</f>
        <v>88.953422000000003</v>
      </c>
      <c r="K6" s="67">
        <f>7280355/1000000</f>
        <v>7.2803550000000001</v>
      </c>
      <c r="L6" s="67">
        <f>68234731/1000000</f>
        <v>68.234730999999996</v>
      </c>
      <c r="M6" s="67">
        <f>+(13364740+73595)/1000000</f>
        <v>13.438335</v>
      </c>
      <c r="N6" s="67">
        <f t="shared" si="0"/>
        <v>88.953420999999992</v>
      </c>
      <c r="O6" s="81"/>
    </row>
    <row r="7" spans="1:15" ht="13.9" customHeight="1" x14ac:dyDescent="0.2">
      <c r="A7" s="66" t="s">
        <v>76</v>
      </c>
      <c r="B7" s="67">
        <f>82366287/1000000</f>
        <v>82.366287</v>
      </c>
      <c r="C7" s="67">
        <f>24758526/1000000</f>
        <v>24.758526</v>
      </c>
      <c r="D7" s="67">
        <f>29923716/1000000</f>
        <v>29.923715999999999</v>
      </c>
      <c r="E7" s="67">
        <f>+(23572395+9147513+252798)/1000000</f>
        <v>32.972706000000002</v>
      </c>
      <c r="F7" s="67">
        <f t="shared" si="1"/>
        <v>87.654948000000005</v>
      </c>
      <c r="G7" s="67"/>
      <c r="H7" s="67">
        <f>741780613/1000000</f>
        <v>741.78061300000002</v>
      </c>
      <c r="I7" s="67">
        <v>0</v>
      </c>
      <c r="J7" s="67">
        <f t="shared" si="2"/>
        <v>911.80184800000006</v>
      </c>
      <c r="K7" s="67">
        <f>770601343/1000000</f>
        <v>770.60134300000004</v>
      </c>
      <c r="L7" s="67">
        <f>109283693/1000000</f>
        <v>109.283693</v>
      </c>
      <c r="M7" s="67">
        <f>+(31836162+80650)/1000000</f>
        <v>31.916812</v>
      </c>
      <c r="N7" s="67">
        <f t="shared" si="0"/>
        <v>911.80184800000006</v>
      </c>
      <c r="O7" s="81"/>
    </row>
    <row r="8" spans="1:15" ht="13.9" customHeight="1" x14ac:dyDescent="0.2">
      <c r="A8" s="66" t="s">
        <v>59</v>
      </c>
      <c r="B8" s="67">
        <f>18594084/1000000</f>
        <v>18.594083999999999</v>
      </c>
      <c r="C8" s="67">
        <f>52468111/1000000</f>
        <v>52.468111</v>
      </c>
      <c r="D8" s="67">
        <f>51197176/1000000</f>
        <v>51.197175999999999</v>
      </c>
      <c r="E8" s="67">
        <f>+(57186430)/1000000</f>
        <v>57.186430000000001</v>
      </c>
      <c r="F8" s="67">
        <f>+C8+D8+E8</f>
        <v>160.85171700000001</v>
      </c>
      <c r="G8" s="67">
        <v>0</v>
      </c>
      <c r="H8" s="67">
        <f>25498924/1000000</f>
        <v>25.498923999999999</v>
      </c>
      <c r="I8" s="67">
        <v>0</v>
      </c>
      <c r="J8" s="67">
        <f t="shared" si="2"/>
        <v>204.94472500000001</v>
      </c>
      <c r="K8" s="67">
        <f>5304596/1000000</f>
        <v>5.3045960000000001</v>
      </c>
      <c r="L8" s="67">
        <f>181852029/1000000</f>
        <v>181.85202899999999</v>
      </c>
      <c r="M8" s="67">
        <f>+(16776226+1011874)/1000000</f>
        <v>17.7881</v>
      </c>
      <c r="N8" s="67">
        <f t="shared" si="0"/>
        <v>204.94472500000001</v>
      </c>
      <c r="O8" s="81"/>
    </row>
    <row r="9" spans="1:15" ht="13.9" customHeight="1" x14ac:dyDescent="0.2">
      <c r="A9" s="66" t="s">
        <v>77</v>
      </c>
      <c r="B9" s="67">
        <f>10738334/1000000</f>
        <v>10.738334</v>
      </c>
      <c r="C9" s="67">
        <f>14632616/1000000</f>
        <v>14.632616000000001</v>
      </c>
      <c r="D9" s="67">
        <f>17981601/1000000</f>
        <v>17.981601000000001</v>
      </c>
      <c r="E9" s="67">
        <f>+(52959213+3512015)/1000000</f>
        <v>56.471228000000004</v>
      </c>
      <c r="F9" s="67">
        <f t="shared" si="1"/>
        <v>89.085445000000007</v>
      </c>
      <c r="G9" s="67">
        <v>0</v>
      </c>
      <c r="H9" s="67">
        <f>42435356/1000000</f>
        <v>42.435355999999999</v>
      </c>
      <c r="I9" s="67">
        <v>0</v>
      </c>
      <c r="J9" s="67">
        <f t="shared" si="2"/>
        <v>142.25913500000001</v>
      </c>
      <c r="K9" s="67">
        <f>12062265/1000000</f>
        <v>12.062265</v>
      </c>
      <c r="L9" s="67">
        <f>109536427/1000000</f>
        <v>109.536427</v>
      </c>
      <c r="M9" s="67">
        <f>+(2176698+17634884+797502+51359)/1000000</f>
        <v>20.660443000000001</v>
      </c>
      <c r="N9" s="67">
        <f t="shared" si="0"/>
        <v>142.25913500000001</v>
      </c>
      <c r="O9" s="81"/>
    </row>
    <row r="10" spans="1:15" ht="13.9" customHeight="1" x14ac:dyDescent="0.2">
      <c r="A10" s="66" t="s">
        <v>78</v>
      </c>
      <c r="B10" s="67">
        <f>5566152356/1000000</f>
        <v>5566.1523559999996</v>
      </c>
      <c r="C10" s="67">
        <f>250775020/1000000</f>
        <v>250.77502000000001</v>
      </c>
      <c r="D10" s="67">
        <f>664889190/1000000</f>
        <v>664.88918999999999</v>
      </c>
      <c r="E10" s="67">
        <f>(897071738+171229029)/1000000</f>
        <v>1068.300767</v>
      </c>
      <c r="F10" s="67">
        <f>+C10+D10+E10</f>
        <v>1983.9649770000001</v>
      </c>
      <c r="G10" s="67">
        <f>309375000/1000000</f>
        <v>309.375</v>
      </c>
      <c r="H10" s="67">
        <f>38296734105/1000000</f>
        <v>38296.734105000003</v>
      </c>
      <c r="I10" s="67">
        <f>213500000/1000000</f>
        <v>213.5</v>
      </c>
      <c r="J10" s="67">
        <f t="shared" si="2"/>
        <v>46369.726438000005</v>
      </c>
      <c r="K10" s="67">
        <f>36742205130/1000000</f>
        <v>36742.205130000002</v>
      </c>
      <c r="L10" s="67">
        <f>6558097378/1000000</f>
        <v>6558.0973780000004</v>
      </c>
      <c r="M10" s="67">
        <f>+(135959591+2928607168+4857171)/1000000</f>
        <v>3069.4239299999999</v>
      </c>
      <c r="N10" s="67">
        <f t="shared" si="0"/>
        <v>46369.726437999998</v>
      </c>
      <c r="O10" s="81"/>
    </row>
    <row r="11" spans="1:15" ht="13.9" customHeight="1" x14ac:dyDescent="0.2">
      <c r="A11" s="66" t="s">
        <v>230</v>
      </c>
      <c r="B11" s="67">
        <f>4777262/1000000</f>
        <v>4.7772620000000003</v>
      </c>
      <c r="C11" s="67">
        <f>32108197/1000000</f>
        <v>32.108196999999997</v>
      </c>
      <c r="D11" s="67">
        <f>33676811/1000000</f>
        <v>33.676811000000001</v>
      </c>
      <c r="E11" s="67">
        <f>+(55698541+7778407)/1000000</f>
        <v>63.476948</v>
      </c>
      <c r="F11" s="67">
        <f t="shared" ref="F11:F16" si="3">+C11+D11+E11</f>
        <v>129.261956</v>
      </c>
      <c r="G11" s="67">
        <v>0</v>
      </c>
      <c r="H11" s="67">
        <f>-41775613/1000000</f>
        <v>-41.775613</v>
      </c>
      <c r="I11" s="67">
        <v>0</v>
      </c>
      <c r="J11" s="67">
        <f t="shared" si="2"/>
        <v>92.263605000000013</v>
      </c>
      <c r="K11" s="67">
        <f>-33808317/1000000</f>
        <v>-33.808317000000002</v>
      </c>
      <c r="L11" s="67">
        <f>114547447/1000000</f>
        <v>114.54744700000001</v>
      </c>
      <c r="M11" s="67">
        <f>+(11335542+186915)/1000000</f>
        <v>11.522456999999999</v>
      </c>
      <c r="N11" s="67">
        <f t="shared" si="0"/>
        <v>92.261587000000006</v>
      </c>
      <c r="O11" s="81"/>
    </row>
    <row r="12" spans="1:15" ht="13.9" customHeight="1" x14ac:dyDescent="0.2">
      <c r="A12" s="66" t="s">
        <v>60</v>
      </c>
      <c r="B12" s="67">
        <f>7553625521/1000000</f>
        <v>7553.6255209999999</v>
      </c>
      <c r="C12" s="67">
        <f>471977718/1000000</f>
        <v>471.97771799999998</v>
      </c>
      <c r="D12" s="67">
        <f>1421182596/1000000</f>
        <v>1421.1825960000001</v>
      </c>
      <c r="E12" s="67">
        <f>1876222562/1000000</f>
        <v>1876.2225619999999</v>
      </c>
      <c r="F12" s="67">
        <f t="shared" si="3"/>
        <v>3769.3828760000001</v>
      </c>
      <c r="G12" s="67">
        <f>186856878/1000000</f>
        <v>186.85687799999999</v>
      </c>
      <c r="H12" s="67">
        <f>33388110960/1000000</f>
        <v>33388.110959999998</v>
      </c>
      <c r="I12" s="67">
        <f>165610689/1000000</f>
        <v>165.61068900000001</v>
      </c>
      <c r="J12" s="67">
        <f t="shared" si="2"/>
        <v>45063.586923999996</v>
      </c>
      <c r="K12" s="67">
        <f>33447462417/1000000</f>
        <v>33447.462417000002</v>
      </c>
      <c r="L12" s="67">
        <f>10560293132/1000000</f>
        <v>10560.293132000001</v>
      </c>
      <c r="M12" s="67">
        <f>+(1022643949+33187426)/1000000</f>
        <v>1055.831375</v>
      </c>
      <c r="N12" s="67">
        <f t="shared" si="0"/>
        <v>45063.586924000003</v>
      </c>
      <c r="O12" s="81"/>
    </row>
    <row r="13" spans="1:15" ht="13.9" customHeight="1" x14ac:dyDescent="0.2">
      <c r="A13" s="66" t="s">
        <v>61</v>
      </c>
      <c r="B13" s="67">
        <f>291115803/1000000</f>
        <v>291.11580300000003</v>
      </c>
      <c r="C13" s="67">
        <f>8520228/1000000</f>
        <v>8.5202279999999995</v>
      </c>
      <c r="D13" s="67">
        <f>32241582/1000000</f>
        <v>32.241582000000001</v>
      </c>
      <c r="E13" s="67">
        <f>136785008/1000000</f>
        <v>136.785008</v>
      </c>
      <c r="F13" s="67">
        <f t="shared" si="3"/>
        <v>177.546818</v>
      </c>
      <c r="G13" s="67">
        <v>0</v>
      </c>
      <c r="H13" s="67">
        <f>700421165/1000000</f>
        <v>700.42116499999997</v>
      </c>
      <c r="I13" s="67">
        <v>0</v>
      </c>
      <c r="J13" s="67">
        <f t="shared" si="2"/>
        <v>1169.0837860000001</v>
      </c>
      <c r="K13" s="67">
        <f>923916145/1000000</f>
        <v>923.91614500000003</v>
      </c>
      <c r="L13" s="67">
        <f>230651630/1000000</f>
        <v>230.65163000000001</v>
      </c>
      <c r="M13" s="67">
        <f>14516011/1000000</f>
        <v>14.516011000000001</v>
      </c>
      <c r="N13" s="67">
        <f t="shared" si="0"/>
        <v>1169.0837859999999</v>
      </c>
      <c r="O13" s="81"/>
    </row>
    <row r="14" spans="1:15" ht="13.9" customHeight="1" x14ac:dyDescent="0.2">
      <c r="A14" s="66" t="s">
        <v>62</v>
      </c>
      <c r="B14" s="67">
        <f>1289119958/1000000</f>
        <v>1289.119958</v>
      </c>
      <c r="C14" s="67">
        <f>9783864/1000000</f>
        <v>9.7838639999999995</v>
      </c>
      <c r="D14" s="67">
        <f>18154225/1000000</f>
        <v>18.154225</v>
      </c>
      <c r="E14" s="67">
        <f>193841035/1000000</f>
        <v>193.84103500000001</v>
      </c>
      <c r="F14" s="67">
        <f t="shared" si="3"/>
        <v>221.779124</v>
      </c>
      <c r="G14" s="67">
        <v>0</v>
      </c>
      <c r="H14" s="67">
        <f>1662830402/1000000</f>
        <v>1662.830402</v>
      </c>
      <c r="I14" s="67">
        <v>0</v>
      </c>
      <c r="J14" s="67">
        <f t="shared" si="2"/>
        <v>3173.729484</v>
      </c>
      <c r="K14" s="67">
        <f>997176571/1000000</f>
        <v>997.17657099999997</v>
      </c>
      <c r="L14" s="67">
        <f>2064077512/1000000</f>
        <v>2064.0775119999998</v>
      </c>
      <c r="M14" s="67">
        <f>+(112409337+66064)/1000000</f>
        <v>112.47540100000001</v>
      </c>
      <c r="N14" s="67">
        <f t="shared" si="0"/>
        <v>3173.729484</v>
      </c>
      <c r="O14" s="81"/>
    </row>
    <row r="15" spans="1:15" ht="13.9" customHeight="1" x14ac:dyDescent="0.2">
      <c r="A15" s="66" t="s">
        <v>72</v>
      </c>
      <c r="B15" s="67">
        <f>773516586/1000000</f>
        <v>773.51658599999996</v>
      </c>
      <c r="C15" s="67">
        <f>40869732/1000000</f>
        <v>40.869731999999999</v>
      </c>
      <c r="D15" s="67">
        <f>124967995/1000000</f>
        <v>124.967995</v>
      </c>
      <c r="E15" s="67">
        <f>+(356616615+33993310)/1000000</f>
        <v>390.60992499999998</v>
      </c>
      <c r="F15" s="67">
        <f t="shared" si="3"/>
        <v>556.44765199999995</v>
      </c>
      <c r="G15" s="67">
        <v>0</v>
      </c>
      <c r="H15" s="67">
        <f>2831777860/1000000</f>
        <v>2831.7778600000001</v>
      </c>
      <c r="I15" s="67">
        <v>0</v>
      </c>
      <c r="J15" s="67">
        <f t="shared" si="2"/>
        <v>4161.7420980000006</v>
      </c>
      <c r="K15" s="67">
        <f>2822518586/1000000</f>
        <v>2822.5185860000001</v>
      </c>
      <c r="L15" s="67">
        <f>1141671959/1000000</f>
        <v>1141.671959</v>
      </c>
      <c r="M15" s="67">
        <f>+(134364809+63186744)/1000000</f>
        <v>197.55155300000001</v>
      </c>
      <c r="N15" s="67">
        <f t="shared" si="0"/>
        <v>4161.7420980000006</v>
      </c>
      <c r="O15" s="81"/>
    </row>
    <row r="16" spans="1:15" ht="13.9" customHeight="1" x14ac:dyDescent="0.2">
      <c r="A16" s="66" t="s">
        <v>63</v>
      </c>
      <c r="B16" s="67">
        <f>5010005/1000000</f>
        <v>5.0100049999999996</v>
      </c>
      <c r="C16" s="67">
        <f>17291551/1000000</f>
        <v>17.291550999999998</v>
      </c>
      <c r="D16" s="67">
        <f>20447567/1000000</f>
        <v>20.447566999999999</v>
      </c>
      <c r="E16" s="67">
        <f>+(37096555+11192197)/1000000</f>
        <v>48.288752000000002</v>
      </c>
      <c r="F16" s="67">
        <f t="shared" si="3"/>
        <v>86.027870000000007</v>
      </c>
      <c r="G16" s="67">
        <v>0</v>
      </c>
      <c r="H16" s="67">
        <f>-38368031/1000000</f>
        <v>-38.368031000000002</v>
      </c>
      <c r="I16" s="67">
        <v>0</v>
      </c>
      <c r="J16" s="67">
        <f t="shared" si="2"/>
        <v>52.669844000000012</v>
      </c>
      <c r="K16" s="67">
        <f>-48109466/1000000</f>
        <v>-48.109465999999998</v>
      </c>
      <c r="L16" s="67">
        <f>84216071/1000000</f>
        <v>84.216070999999999</v>
      </c>
      <c r="M16" s="67">
        <f>+(16083328+479911)/1000000</f>
        <v>16.563238999999999</v>
      </c>
      <c r="N16" s="67">
        <f t="shared" si="0"/>
        <v>52.669843999999998</v>
      </c>
      <c r="O16" s="81"/>
    </row>
    <row r="17" spans="1:15" ht="13.9" customHeight="1" x14ac:dyDescent="0.2">
      <c r="A17" s="66" t="s">
        <v>64</v>
      </c>
      <c r="B17" s="67">
        <f>2267455/1000000</f>
        <v>2.267455</v>
      </c>
      <c r="C17" s="67">
        <v>0</v>
      </c>
      <c r="D17" s="67">
        <f>21142921/1000000</f>
        <v>21.142921000000001</v>
      </c>
      <c r="E17" s="67">
        <f>+(71226050+5180427)/1000000</f>
        <v>76.406476999999995</v>
      </c>
      <c r="F17" s="67">
        <f>+C17+D17+E17</f>
        <v>97.549397999999997</v>
      </c>
      <c r="G17" s="67">
        <v>0</v>
      </c>
      <c r="H17" s="67">
        <f>1947862/1000000</f>
        <v>1.947862</v>
      </c>
      <c r="I17" s="67">
        <v>0</v>
      </c>
      <c r="J17" s="67">
        <f t="shared" si="2"/>
        <v>101.764715</v>
      </c>
      <c r="K17" s="67">
        <f>-13649828/1000000</f>
        <v>-13.649827999999999</v>
      </c>
      <c r="L17" s="67">
        <f>82390119/1000000</f>
        <v>82.390118999999999</v>
      </c>
      <c r="M17" s="67">
        <f>+(32996398+28029)/1000000</f>
        <v>33.024427000000003</v>
      </c>
      <c r="N17" s="67">
        <f t="shared" si="0"/>
        <v>101.764718</v>
      </c>
      <c r="O17" s="81"/>
    </row>
    <row r="18" spans="1:15" ht="13.9" customHeight="1" x14ac:dyDescent="0.2">
      <c r="A18" s="66" t="s">
        <v>65</v>
      </c>
      <c r="B18" s="67">
        <f>2599080571/1000000</f>
        <v>2599.080571</v>
      </c>
      <c r="C18" s="67">
        <f>175268755/1000000</f>
        <v>175.268755</v>
      </c>
      <c r="D18" s="67">
        <f>392607075/1000000</f>
        <v>392.60707500000001</v>
      </c>
      <c r="E18" s="67">
        <f>+(667106837+73290+803910+15530+64280502+26311674+7235198)/1000000</f>
        <v>765.82694100000003</v>
      </c>
      <c r="F18" s="67">
        <f>+C18+D18+E18</f>
        <v>1333.702771</v>
      </c>
      <c r="G18" s="67">
        <f>67043826/1000000</f>
        <v>67.043825999999996</v>
      </c>
      <c r="H18" s="67">
        <f>16867329039/1000000</f>
        <v>16867.329039</v>
      </c>
      <c r="I18" s="67">
        <f>61607305/1000000</f>
        <v>61.607304999999997</v>
      </c>
      <c r="J18" s="67">
        <f>B18+F18+G18+H18+I18</f>
        <v>20928.763512000001</v>
      </c>
      <c r="K18" s="67">
        <f>15634617054/1000000</f>
        <v>15634.617054</v>
      </c>
      <c r="L18" s="67">
        <f>+(4329103422-14506761)/1000000</f>
        <v>4314.5966609999996</v>
      </c>
      <c r="M18" s="67">
        <f>+(963544819+137226+11126558+4741194)/1000000</f>
        <v>979.54979700000001</v>
      </c>
      <c r="N18" s="67">
        <f t="shared" si="0"/>
        <v>20928.763511999998</v>
      </c>
      <c r="O18" s="81"/>
    </row>
    <row r="19" spans="1:15" ht="13.9" customHeight="1" x14ac:dyDescent="0.2">
      <c r="A19" s="66" t="s">
        <v>79</v>
      </c>
      <c r="B19" s="67">
        <f>3065146/1000000</f>
        <v>3.0651459999999999</v>
      </c>
      <c r="C19" s="67">
        <f>15501810/1000000</f>
        <v>15.501810000000001</v>
      </c>
      <c r="D19" s="67">
        <f>28649301/1000000</f>
        <v>28.649301000000001</v>
      </c>
      <c r="E19" s="67">
        <f>+(37934334+2490462)/1000000</f>
        <v>40.424796000000001</v>
      </c>
      <c r="F19" s="67">
        <f t="shared" si="1"/>
        <v>84.575907000000001</v>
      </c>
      <c r="G19" s="67">
        <v>0</v>
      </c>
      <c r="H19" s="67">
        <f>37225222/1000000</f>
        <v>37.225222000000002</v>
      </c>
      <c r="I19" s="67">
        <v>0</v>
      </c>
      <c r="J19" s="67">
        <f t="shared" si="2"/>
        <v>124.866275</v>
      </c>
      <c r="K19" s="67">
        <f>2803277/1000000</f>
        <v>2.803277</v>
      </c>
      <c r="L19" s="67">
        <f>109910391/1000000</f>
        <v>109.910391</v>
      </c>
      <c r="M19" s="67">
        <f>+(12148357+4250)/1000000</f>
        <v>12.152607</v>
      </c>
      <c r="N19" s="67">
        <f t="shared" si="0"/>
        <v>124.866275</v>
      </c>
      <c r="O19" s="81"/>
    </row>
    <row r="20" spans="1:15" ht="13.9" customHeight="1" x14ac:dyDescent="0.2">
      <c r="A20" s="66" t="s">
        <v>66</v>
      </c>
      <c r="B20" s="67">
        <f>(7135051157+380932)/1000000</f>
        <v>7135.4320889999999</v>
      </c>
      <c r="C20" s="67">
        <f>525154452/1000000</f>
        <v>525.15445199999999</v>
      </c>
      <c r="D20" s="67">
        <f>889534346/1000000</f>
        <v>889.53434600000003</v>
      </c>
      <c r="E20" s="67">
        <f>(1571102701+5000000+70944647)/1000000</f>
        <v>1647.0473480000001</v>
      </c>
      <c r="F20" s="67">
        <f t="shared" si="1"/>
        <v>3061.7361460000002</v>
      </c>
      <c r="G20" s="67">
        <f>330284290/1000000</f>
        <v>330.28429</v>
      </c>
      <c r="H20" s="67">
        <f>34615557543/1000000</f>
        <v>34615.557543000003</v>
      </c>
      <c r="I20" s="67">
        <f>313206785/1000000</f>
        <v>313.20678500000002</v>
      </c>
      <c r="J20" s="67">
        <f t="shared" si="2"/>
        <v>45456.216853000005</v>
      </c>
      <c r="K20" s="67">
        <f>32907692596/1000000</f>
        <v>32907.692596000001</v>
      </c>
      <c r="L20" s="67">
        <f>9635753196/1000000</f>
        <v>9635.7531959999997</v>
      </c>
      <c r="M20" s="67">
        <f>+(2868455446+44315615)/1000000</f>
        <v>2912.7710609999999</v>
      </c>
      <c r="N20" s="67">
        <f t="shared" si="0"/>
        <v>45456.216852999998</v>
      </c>
      <c r="O20" s="81"/>
    </row>
    <row r="21" spans="1:15" ht="13.9" customHeight="1" x14ac:dyDescent="0.2">
      <c r="A21" s="66" t="s">
        <v>67</v>
      </c>
      <c r="B21" s="67">
        <f>3970290/1000000</f>
        <v>3.9702899999999999</v>
      </c>
      <c r="C21" s="67">
        <f>16201827/1000000</f>
        <v>16.201827000000002</v>
      </c>
      <c r="D21" s="67">
        <f>17146034/1000000</f>
        <v>17.146034</v>
      </c>
      <c r="E21" s="67">
        <f>(24268613+5944621)/1000000</f>
        <v>30.213234</v>
      </c>
      <c r="F21" s="67">
        <f t="shared" si="1"/>
        <v>63.561095000000002</v>
      </c>
      <c r="G21" s="67">
        <v>0</v>
      </c>
      <c r="H21" s="67">
        <f>-21904446/1000000</f>
        <v>-21.904446</v>
      </c>
      <c r="I21" s="67">
        <v>0</v>
      </c>
      <c r="J21" s="67">
        <f t="shared" si="2"/>
        <v>45.626939</v>
      </c>
      <c r="K21" s="67">
        <f>-36431783/1000000</f>
        <v>-36.431783000000003</v>
      </c>
      <c r="L21" s="67">
        <f>60755204/1000000</f>
        <v>60.755203999999999</v>
      </c>
      <c r="M21" s="67">
        <f>(19362908+1940610)/1000000</f>
        <v>21.303518</v>
      </c>
      <c r="N21" s="67">
        <f t="shared" si="0"/>
        <v>45.626938999999993</v>
      </c>
      <c r="O21" s="81"/>
    </row>
    <row r="22" spans="1:15" ht="13.9" customHeight="1" x14ac:dyDescent="0.2">
      <c r="A22" s="66" t="s">
        <v>73</v>
      </c>
      <c r="B22" s="67">
        <f>43092867/1000000</f>
        <v>43.092866999999998</v>
      </c>
      <c r="C22" s="67">
        <f>4636186/1000000</f>
        <v>4.6361860000000004</v>
      </c>
      <c r="D22" s="67">
        <f>34097172/1000000</f>
        <v>34.097172</v>
      </c>
      <c r="E22" s="67">
        <f>+(68666565)/1000000</f>
        <v>68.666565000000006</v>
      </c>
      <c r="F22" s="67">
        <f t="shared" si="1"/>
        <v>107.399923</v>
      </c>
      <c r="G22" s="67">
        <v>0</v>
      </c>
      <c r="H22" s="67">
        <f>1156738/1000000</f>
        <v>1.156738</v>
      </c>
      <c r="I22" s="67">
        <v>0</v>
      </c>
      <c r="J22" s="67">
        <f t="shared" si="2"/>
        <v>151.649528</v>
      </c>
      <c r="K22" s="67">
        <f>-59237418/1000000</f>
        <v>-59.237417999999998</v>
      </c>
      <c r="L22" s="67">
        <f>203690283/1000000</f>
        <v>203.69028299999999</v>
      </c>
      <c r="M22" s="67">
        <f>+(7195613+1050)/1000000</f>
        <v>7.196663</v>
      </c>
      <c r="N22" s="67">
        <f t="shared" si="0"/>
        <v>151.649528</v>
      </c>
      <c r="O22" s="81"/>
    </row>
    <row r="23" spans="1:15" s="82" customFormat="1" ht="13.9" customHeight="1" x14ac:dyDescent="0.2">
      <c r="A23" s="66" t="s">
        <v>212</v>
      </c>
      <c r="B23" s="67">
        <f>527986146/1000000</f>
        <v>527.98614599999996</v>
      </c>
      <c r="C23" s="67">
        <f>50960683/1000000</f>
        <v>50.960683000000003</v>
      </c>
      <c r="D23" s="67">
        <f>83615472/1000000</f>
        <v>83.615471999999997</v>
      </c>
      <c r="E23" s="67">
        <f>+(165136429+7626960+3171256)/1000000</f>
        <v>175.93464499999999</v>
      </c>
      <c r="F23" s="67">
        <f t="shared" si="1"/>
        <v>310.51080000000002</v>
      </c>
      <c r="G23" s="67">
        <v>0</v>
      </c>
      <c r="H23" s="67">
        <f>2756011175/1000000</f>
        <v>2756.0111750000001</v>
      </c>
      <c r="I23" s="67">
        <f>11500000/1000000</f>
        <v>11.5</v>
      </c>
      <c r="J23" s="67">
        <f t="shared" si="2"/>
        <v>3606.0081209999998</v>
      </c>
      <c r="K23" s="67">
        <f>2707174754/1000000</f>
        <v>2707.1747540000001</v>
      </c>
      <c r="L23" s="67">
        <f>647781654/1000000</f>
        <v>647.781654</v>
      </c>
      <c r="M23" s="67">
        <f>+(251072532-20820)/1000000</f>
        <v>251.05171200000001</v>
      </c>
      <c r="N23" s="67">
        <f t="shared" si="0"/>
        <v>3606.00812</v>
      </c>
      <c r="O23" s="81"/>
    </row>
    <row r="24" spans="1:15" ht="13.9" customHeight="1" x14ac:dyDescent="0.2">
      <c r="A24" s="66" t="s">
        <v>68</v>
      </c>
      <c r="B24" s="67">
        <f>2178017708/1000000</f>
        <v>2178.0177079999999</v>
      </c>
      <c r="C24" s="67">
        <f>245275349/1000000</f>
        <v>245.27534900000001</v>
      </c>
      <c r="D24" s="67">
        <f>351556315/1000000</f>
        <v>351.55631499999998</v>
      </c>
      <c r="E24" s="67">
        <f>(794701667+16509285+25144981)/1000000</f>
        <v>836.35593300000005</v>
      </c>
      <c r="F24" s="67">
        <f t="shared" si="1"/>
        <v>1433.1875970000001</v>
      </c>
      <c r="G24" s="67">
        <f>45780345/1000000</f>
        <v>45.780344999999997</v>
      </c>
      <c r="H24" s="67">
        <f>8809887941/1000000</f>
        <v>8809.8879410000009</v>
      </c>
      <c r="I24" s="67">
        <f>32500000/1000000</f>
        <v>32.5</v>
      </c>
      <c r="J24" s="67">
        <f t="shared" si="2"/>
        <v>12499.373591000001</v>
      </c>
      <c r="K24" s="67">
        <f>8466593992/1000000</f>
        <v>8466.5939920000001</v>
      </c>
      <c r="L24" s="67">
        <f>3611377531/1000000</f>
        <v>3611.3775310000001</v>
      </c>
      <c r="M24" s="67">
        <f>421402068/1000000</f>
        <v>421.40206799999999</v>
      </c>
      <c r="N24" s="67">
        <f t="shared" si="0"/>
        <v>12499.373591</v>
      </c>
      <c r="O24" s="81"/>
    </row>
    <row r="25" spans="1:15" ht="13.9" customHeight="1" x14ac:dyDescent="0.2">
      <c r="A25" s="66" t="s">
        <v>80</v>
      </c>
      <c r="B25" s="67">
        <f>9220881523/1000000</f>
        <v>9220.881523</v>
      </c>
      <c r="C25" s="67">
        <f>1033816637/1000000</f>
        <v>1033.8166369999999</v>
      </c>
      <c r="D25" s="67">
        <f>2371017545/1000000</f>
        <v>2371.0175450000002</v>
      </c>
      <c r="E25" s="67">
        <f>1651619779/1000000</f>
        <v>1651.6197790000001</v>
      </c>
      <c r="F25" s="67">
        <f t="shared" si="1"/>
        <v>5056.4539610000002</v>
      </c>
      <c r="G25" s="67">
        <f>241713432/1000000</f>
        <v>241.71343200000001</v>
      </c>
      <c r="H25" s="67">
        <f>17871494506/1000000</f>
        <v>17871.494505999999</v>
      </c>
      <c r="I25" s="67">
        <f>132643645/1000000</f>
        <v>132.64364499999999</v>
      </c>
      <c r="J25" s="67">
        <f t="shared" si="2"/>
        <v>32523.187066999999</v>
      </c>
      <c r="K25" s="67">
        <f>22866743790/1000000</f>
        <v>22866.74379</v>
      </c>
      <c r="L25" s="67">
        <f>8032907547/1000000</f>
        <v>8032.9075469999998</v>
      </c>
      <c r="M25" s="67">
        <f>+(1484128129+139028683+378918)/1000000</f>
        <v>1623.5357300000001</v>
      </c>
      <c r="N25" s="67">
        <f t="shared" si="0"/>
        <v>32523.187066999999</v>
      </c>
      <c r="O25" s="81"/>
    </row>
    <row r="26" spans="1:15" ht="13.9" customHeight="1" x14ac:dyDescent="0.2">
      <c r="A26" s="66" t="s">
        <v>81</v>
      </c>
      <c r="B26" s="67">
        <f>1065953508/1000000</f>
        <v>1065.9535080000001</v>
      </c>
      <c r="C26" s="67">
        <f>18234553/1000000</f>
        <v>18.234552999999998</v>
      </c>
      <c r="D26" s="67">
        <f>59491117/1000000</f>
        <v>59.491117000000003</v>
      </c>
      <c r="E26" s="67">
        <f>+(312397496+39832971)/1000000</f>
        <v>352.23046699999998</v>
      </c>
      <c r="F26" s="67">
        <f t="shared" si="1"/>
        <v>429.95613700000001</v>
      </c>
      <c r="G26" s="67">
        <v>0</v>
      </c>
      <c r="H26" s="67">
        <f>453967301/1000000</f>
        <v>453.96730100000002</v>
      </c>
      <c r="I26" s="67">
        <v>0</v>
      </c>
      <c r="J26" s="67">
        <f t="shared" si="2"/>
        <v>1949.8769460000003</v>
      </c>
      <c r="K26" s="67">
        <f>1288257466/1000000</f>
        <v>1288.257466</v>
      </c>
      <c r="L26" s="67">
        <f>578630830/1000000</f>
        <v>578.63082999999995</v>
      </c>
      <c r="M26" s="67">
        <f>82988650/1000000</f>
        <v>82.988650000000007</v>
      </c>
      <c r="N26" s="67">
        <f t="shared" si="0"/>
        <v>1949.8769460000001</v>
      </c>
      <c r="O26" s="81"/>
    </row>
    <row r="27" spans="1:15" ht="13.9" customHeight="1" x14ac:dyDescent="0.2">
      <c r="A27" s="66" t="s">
        <v>82</v>
      </c>
      <c r="B27" s="67">
        <f>1663308379/1000000</f>
        <v>1663.3083790000001</v>
      </c>
      <c r="C27" s="67">
        <f>234532173/1000000</f>
        <v>234.532173</v>
      </c>
      <c r="D27" s="67">
        <f>249258226/1000000</f>
        <v>249.25822600000001</v>
      </c>
      <c r="E27" s="67">
        <f>434458843/1000000</f>
        <v>434.458843</v>
      </c>
      <c r="F27" s="67">
        <f t="shared" si="1"/>
        <v>918.24924199999998</v>
      </c>
      <c r="G27" s="67">
        <f>30339031/1000000</f>
        <v>30.339030999999999</v>
      </c>
      <c r="H27" s="67">
        <f>5549406180/1000000</f>
        <v>5549.4061799999999</v>
      </c>
      <c r="I27" s="67">
        <f>20000000/1000000</f>
        <v>20</v>
      </c>
      <c r="J27" s="67">
        <f t="shared" si="2"/>
        <v>8181.3028319999994</v>
      </c>
      <c r="K27" s="67">
        <f>5216451077/1000000</f>
        <v>5216.4510769999997</v>
      </c>
      <c r="L27" s="67">
        <f>2559267843/1000000</f>
        <v>2559.2678430000001</v>
      </c>
      <c r="M27" s="67">
        <f>+(398019589+7564323)/1000000</f>
        <v>405.583912</v>
      </c>
      <c r="N27" s="67">
        <f t="shared" si="0"/>
        <v>8181.3028319999994</v>
      </c>
      <c r="O27" s="81"/>
    </row>
    <row r="28" spans="1:15" ht="13.9" customHeight="1" x14ac:dyDescent="0.2">
      <c r="A28" s="66" t="s">
        <v>74</v>
      </c>
      <c r="B28" s="67">
        <f>1158409991/1000000</f>
        <v>1158.409991</v>
      </c>
      <c r="C28" s="67">
        <f>209769281/1000000</f>
        <v>209.76928100000001</v>
      </c>
      <c r="D28" s="67">
        <f>380400491/1000000</f>
        <v>380.40049099999999</v>
      </c>
      <c r="E28" s="67">
        <f>+(330202268+35749669)/1000000</f>
        <v>365.95193699999999</v>
      </c>
      <c r="F28" s="67">
        <f t="shared" si="1"/>
        <v>956.12170900000001</v>
      </c>
      <c r="G28" s="67">
        <f>33287017/1000000</f>
        <v>33.287016999999999</v>
      </c>
      <c r="H28" s="67">
        <f>4503993651/1000000</f>
        <v>4503.9936509999998</v>
      </c>
      <c r="I28" s="67">
        <f>22555757/1000000</f>
        <v>22.555757</v>
      </c>
      <c r="J28" s="67">
        <f t="shared" si="2"/>
        <v>6674.368125</v>
      </c>
      <c r="K28" s="67">
        <f>4267523041/1000000</f>
        <v>4267.5230410000004</v>
      </c>
      <c r="L28" s="67">
        <f>2154373292/1000000</f>
        <v>2154.3732920000002</v>
      </c>
      <c r="M28" s="67">
        <f>+(249286801+402987+2782004)/1000000</f>
        <v>252.47179199999999</v>
      </c>
      <c r="N28" s="67">
        <f t="shared" si="0"/>
        <v>6674.3681250000009</v>
      </c>
      <c r="O28" s="81"/>
    </row>
    <row r="29" spans="1:15" ht="13.9" customHeight="1" x14ac:dyDescent="0.2">
      <c r="A29" s="66" t="s">
        <v>69</v>
      </c>
      <c r="B29" s="67">
        <f>1661864084/1000000</f>
        <v>1661.864084</v>
      </c>
      <c r="C29" s="67">
        <f>153993240/1000000</f>
        <v>153.99323999999999</v>
      </c>
      <c r="D29" s="67">
        <f>163449637/1000000</f>
        <v>163.449637</v>
      </c>
      <c r="E29" s="67">
        <f>+(235996299+111756605)/1000000</f>
        <v>347.752904</v>
      </c>
      <c r="F29" s="67">
        <f>+C29+D29+E29</f>
        <v>665.1957809999999</v>
      </c>
      <c r="G29" s="67">
        <f>182831055/1000000</f>
        <v>182.83105499999999</v>
      </c>
      <c r="H29" s="67">
        <f>8372691788/1000000</f>
        <v>8372.6917880000001</v>
      </c>
      <c r="I29" s="67">
        <f>45480592/1000000</f>
        <v>45.480592000000001</v>
      </c>
      <c r="J29" s="67">
        <f t="shared" si="2"/>
        <v>10928.0633</v>
      </c>
      <c r="K29" s="67">
        <f>8517615065/1000000</f>
        <v>8517.615065</v>
      </c>
      <c r="L29" s="67">
        <f>1561669659/1000000</f>
        <v>1561.6696589999999</v>
      </c>
      <c r="M29" s="67">
        <f>+(792101026+53681337+2996213)/1000000</f>
        <v>848.77857600000004</v>
      </c>
      <c r="N29" s="67">
        <f t="shared" si="0"/>
        <v>10928.0633</v>
      </c>
      <c r="O29" s="81"/>
    </row>
    <row r="30" spans="1:15" ht="13.9" customHeight="1" x14ac:dyDescent="0.2">
      <c r="A30" s="66" t="s">
        <v>70</v>
      </c>
      <c r="B30" s="67">
        <f>548406472/1000000</f>
        <v>548.40647200000001</v>
      </c>
      <c r="C30" s="67">
        <f>79684986/1000000</f>
        <v>79.684985999999995</v>
      </c>
      <c r="D30" s="67">
        <f>162931779/1000000</f>
        <v>162.93177900000001</v>
      </c>
      <c r="E30" s="67">
        <f>+(415609810+6775913)/1000000</f>
        <v>422.38572299999998</v>
      </c>
      <c r="F30" s="67">
        <f t="shared" si="1"/>
        <v>665.00248799999997</v>
      </c>
      <c r="G30" s="67">
        <v>0</v>
      </c>
      <c r="H30" s="67">
        <f>1641905563/1000000</f>
        <v>1641.905563</v>
      </c>
      <c r="I30" s="67">
        <v>0</v>
      </c>
      <c r="J30" s="67">
        <f t="shared" si="2"/>
        <v>2855.314523</v>
      </c>
      <c r="K30" s="67">
        <f>1729083538/1000000</f>
        <v>1729.0835380000001</v>
      </c>
      <c r="L30" s="67">
        <f>1043900814/1000000</f>
        <v>1043.9008140000001</v>
      </c>
      <c r="M30" s="67">
        <f>+(77743611+4586560)/1000000</f>
        <v>82.330171000000007</v>
      </c>
      <c r="N30" s="67">
        <f t="shared" si="0"/>
        <v>2855.3145230000005</v>
      </c>
      <c r="O30" s="81"/>
    </row>
    <row r="31" spans="1:15" ht="13.9" customHeight="1" x14ac:dyDescent="0.2">
      <c r="A31" s="66" t="s">
        <v>83</v>
      </c>
      <c r="B31" s="67">
        <f>952477700/1000000</f>
        <v>952.47770000000003</v>
      </c>
      <c r="C31" s="67">
        <f>34682960/1000000</f>
        <v>34.682960000000001</v>
      </c>
      <c r="D31" s="67">
        <f>80926908/1000000</f>
        <v>80.926907999999997</v>
      </c>
      <c r="E31" s="67">
        <f>+(382845316+43048808+37336515)/1000000</f>
        <v>463.230639</v>
      </c>
      <c r="F31" s="67">
        <f t="shared" si="1"/>
        <v>578.840507</v>
      </c>
      <c r="G31" s="67">
        <f>7011900/1000000</f>
        <v>7.0118999999999998</v>
      </c>
      <c r="H31" s="67">
        <f>2408602367/1000000</f>
        <v>2408.602367</v>
      </c>
      <c r="I31" s="67">
        <v>0</v>
      </c>
      <c r="J31" s="67">
        <f>B31+F31+G31+H31+I31</f>
        <v>3946.9324740000002</v>
      </c>
      <c r="K31" s="67">
        <f>3035958692/1000000</f>
        <v>3035.9586920000002</v>
      </c>
      <c r="L31" s="67">
        <f>806240068/1000000</f>
        <v>806.24006799999995</v>
      </c>
      <c r="M31" s="67">
        <f>+(87217750+17515964)/1000000</f>
        <v>104.73371400000001</v>
      </c>
      <c r="N31" s="67">
        <f t="shared" si="0"/>
        <v>3946.9324740000002</v>
      </c>
      <c r="O31" s="81"/>
    </row>
    <row r="32" spans="1:15" ht="13.9" customHeight="1" x14ac:dyDescent="0.2">
      <c r="A32" s="66" t="s">
        <v>84</v>
      </c>
      <c r="B32" s="67">
        <f>57139401/1000000</f>
        <v>57.139400999999999</v>
      </c>
      <c r="C32" s="67">
        <f>30712768/1000000</f>
        <v>30.712768000000001</v>
      </c>
      <c r="D32" s="67">
        <f>88904105/1000000</f>
        <v>88.904105000000001</v>
      </c>
      <c r="E32" s="67">
        <f>+(160541395+32130214)/1000000</f>
        <v>192.67160899999999</v>
      </c>
      <c r="F32" s="67">
        <f t="shared" si="1"/>
        <v>312.28848199999999</v>
      </c>
      <c r="G32" s="67">
        <v>0</v>
      </c>
      <c r="H32" s="67">
        <f>601487636/1000000</f>
        <v>601.48763599999995</v>
      </c>
      <c r="I32" s="67">
        <v>0</v>
      </c>
      <c r="J32" s="67">
        <f t="shared" si="2"/>
        <v>970.9155189999999</v>
      </c>
      <c r="K32" s="67">
        <f>253073934/1000000</f>
        <v>253.07393400000001</v>
      </c>
      <c r="L32" s="67">
        <f>675849377/1000000</f>
        <v>675.849377</v>
      </c>
      <c r="M32" s="67">
        <f>+(41086232+905976)/1000000</f>
        <v>41.992207999999998</v>
      </c>
      <c r="N32" s="67">
        <f t="shared" si="0"/>
        <v>970.91551900000002</v>
      </c>
      <c r="O32" s="81"/>
    </row>
    <row r="33" spans="1:15" ht="13.9" customHeight="1" x14ac:dyDescent="0.2">
      <c r="A33" s="66" t="s">
        <v>71</v>
      </c>
      <c r="B33" s="67">
        <f>2274716/1000000</f>
        <v>2.2747160000000002</v>
      </c>
      <c r="C33" s="67">
        <f>6017881/1000000</f>
        <v>6.017881</v>
      </c>
      <c r="D33" s="67">
        <f>6552986/1000000</f>
        <v>6.5529859999999998</v>
      </c>
      <c r="E33" s="67">
        <f>(20993122+2183731)/1000000</f>
        <v>23.176853000000001</v>
      </c>
      <c r="F33" s="67">
        <f>+C33+D33+E33</f>
        <v>35.747720000000001</v>
      </c>
      <c r="G33" s="67">
        <v>0</v>
      </c>
      <c r="H33" s="67">
        <f>-27079495/1000000</f>
        <v>-27.079495000000001</v>
      </c>
      <c r="I33" s="67">
        <f>236355/1000000</f>
        <v>0.23635500000000001</v>
      </c>
      <c r="J33" s="67">
        <f t="shared" si="2"/>
        <v>11.179295999999997</v>
      </c>
      <c r="K33" s="67">
        <f>-28166750/1000000</f>
        <v>-28.16675</v>
      </c>
      <c r="L33" s="67">
        <f>26205264/1000000</f>
        <v>26.205264</v>
      </c>
      <c r="M33" s="67">
        <f>+(13138232+2550)/1000000</f>
        <v>13.140782</v>
      </c>
      <c r="N33" s="67">
        <f t="shared" si="0"/>
        <v>11.179295999999999</v>
      </c>
      <c r="O33" s="81"/>
    </row>
    <row r="34" spans="1:15" ht="13.9" customHeight="1" x14ac:dyDescent="0.2">
      <c r="A34" s="66" t="s">
        <v>85</v>
      </c>
      <c r="B34" s="67">
        <f>14342280/1000000</f>
        <v>14.342280000000001</v>
      </c>
      <c r="C34" s="67">
        <f>18092475/1000000</f>
        <v>18.092475</v>
      </c>
      <c r="D34" s="67">
        <f>52254098/1000000</f>
        <v>52.254097999999999</v>
      </c>
      <c r="E34" s="67">
        <f>147244397/1000000</f>
        <v>147.24439699999999</v>
      </c>
      <c r="F34" s="67">
        <f t="shared" si="1"/>
        <v>217.59097</v>
      </c>
      <c r="G34" s="67">
        <v>0</v>
      </c>
      <c r="H34" s="67">
        <f>3705082/1000000</f>
        <v>3.705082</v>
      </c>
      <c r="I34" s="67">
        <v>0</v>
      </c>
      <c r="J34" s="67">
        <f t="shared" si="2"/>
        <v>235.63833199999999</v>
      </c>
      <c r="K34" s="67">
        <f>-4318537/1000000</f>
        <v>-4.3185370000000001</v>
      </c>
      <c r="L34" s="67">
        <f>226267551/1000000</f>
        <v>226.267551</v>
      </c>
      <c r="M34" s="67">
        <f>+(12965919+723399)/1000000</f>
        <v>13.689318</v>
      </c>
      <c r="N34" s="67">
        <f t="shared" si="0"/>
        <v>235.63833199999999</v>
      </c>
      <c r="O34" s="81"/>
    </row>
    <row r="35" spans="1:15" ht="13.9" customHeight="1" x14ac:dyDescent="0.2">
      <c r="A35" s="66" t="s">
        <v>86</v>
      </c>
      <c r="B35" s="67">
        <f>28339529/1000000</f>
        <v>28.339528999999999</v>
      </c>
      <c r="C35" s="67">
        <f>29352766/1000000</f>
        <v>29.352765999999999</v>
      </c>
      <c r="D35" s="67">
        <f>77732465/1000000</f>
        <v>77.732465000000005</v>
      </c>
      <c r="E35" s="67">
        <f>(158060679+10601857)/1000000</f>
        <v>168.66253599999999</v>
      </c>
      <c r="F35" s="67">
        <f t="shared" si="1"/>
        <v>275.74776700000001</v>
      </c>
      <c r="G35" s="67">
        <v>0</v>
      </c>
      <c r="H35" s="67">
        <f>-53051945/1000000</f>
        <v>-53.051945000000003</v>
      </c>
      <c r="I35" s="67">
        <v>0</v>
      </c>
      <c r="J35" s="67">
        <f t="shared" si="2"/>
        <v>251.03535100000005</v>
      </c>
      <c r="K35" s="67">
        <f>-57494938/1000000</f>
        <v>-57.494937999999998</v>
      </c>
      <c r="L35" s="67">
        <f>295108661/1000000</f>
        <v>295.10866099999998</v>
      </c>
      <c r="M35" s="67">
        <f>+(12847565+558333+15730)/1000000</f>
        <v>13.421628</v>
      </c>
      <c r="N35" s="67">
        <f t="shared" si="0"/>
        <v>251.03535099999999</v>
      </c>
      <c r="O35" s="81"/>
    </row>
    <row r="36" spans="1:15" ht="13.9" customHeight="1" x14ac:dyDescent="0.2">
      <c r="A36" s="63" t="s">
        <v>87</v>
      </c>
      <c r="B36" s="84">
        <f>SUM(B5:B35)</f>
        <v>60266.958042000006</v>
      </c>
      <c r="C36" s="84">
        <f t="shared" ref="C36:N36" si="4">SUM(C5:C35)</f>
        <v>5256.2731119999999</v>
      </c>
      <c r="D36" s="84">
        <f t="shared" si="4"/>
        <v>10772.188937999999</v>
      </c>
      <c r="E36" s="84">
        <f t="shared" si="4"/>
        <v>15078.999326000003</v>
      </c>
      <c r="F36" s="84">
        <f>SUM(F5:F35)</f>
        <v>31107.461376000007</v>
      </c>
      <c r="G36" s="84">
        <f t="shared" si="4"/>
        <v>1434.522774</v>
      </c>
      <c r="H36" s="84">
        <f>SUM(H5:H35)</f>
        <v>301433.560497</v>
      </c>
      <c r="I36" s="84">
        <f t="shared" si="4"/>
        <v>3331.5449920000001</v>
      </c>
      <c r="J36" s="84">
        <f>SUM(J5:J35)</f>
        <v>397574.04768099985</v>
      </c>
      <c r="K36" s="84">
        <f t="shared" si="4"/>
        <v>288116.4592690001</v>
      </c>
      <c r="L36" s="84">
        <f t="shared" si="4"/>
        <v>84484.758163000006</v>
      </c>
      <c r="M36" s="84">
        <f t="shared" si="4"/>
        <v>24972.828232</v>
      </c>
      <c r="N36" s="84">
        <f t="shared" si="4"/>
        <v>397574.0456639998</v>
      </c>
      <c r="O36" s="81"/>
    </row>
    <row r="37" spans="1:15" ht="13.9" customHeight="1" x14ac:dyDescent="0.2">
      <c r="A37" s="66" t="s">
        <v>88</v>
      </c>
      <c r="B37" s="67">
        <f>3436283855/1000000</f>
        <v>3436.2838550000001</v>
      </c>
      <c r="C37" s="67">
        <f>538917757/1000000</f>
        <v>538.91775700000005</v>
      </c>
      <c r="D37" s="67">
        <f>495252306/1000000</f>
        <v>495.25230599999998</v>
      </c>
      <c r="E37" s="67">
        <f>+(2204781298+800000+155759000+15127223+8304018-495252306-538917757)/1000000</f>
        <v>1350.601476</v>
      </c>
      <c r="F37" s="67">
        <f t="shared" si="1"/>
        <v>2384.7715390000003</v>
      </c>
      <c r="G37" s="67">
        <v>0</v>
      </c>
      <c r="H37" s="67">
        <f>19251712994/1000000</f>
        <v>19251.712994000001</v>
      </c>
      <c r="I37" s="67">
        <f>101000000/1000000</f>
        <v>101</v>
      </c>
      <c r="J37" s="67">
        <f t="shared" si="2"/>
        <v>25173.768388000004</v>
      </c>
      <c r="K37" s="67">
        <f>18522790728/1000000</f>
        <v>18522.790728</v>
      </c>
      <c r="L37" s="67">
        <f>5092382755/1000000</f>
        <v>5092.3827549999996</v>
      </c>
      <c r="M37" s="67">
        <f>+(1294259067+264335838)/1000000</f>
        <v>1558.5949049999999</v>
      </c>
      <c r="N37" s="67">
        <f>+SUM(K37:M37)</f>
        <v>25173.768387999997</v>
      </c>
      <c r="O37" s="81"/>
    </row>
    <row r="38" spans="1:15" ht="13.9" customHeight="1" x14ac:dyDescent="0.2">
      <c r="A38" s="63" t="s">
        <v>89</v>
      </c>
      <c r="B38" s="84">
        <f>+B36+B37</f>
        <v>63703.241897000007</v>
      </c>
      <c r="C38" s="84">
        <f t="shared" ref="C38:N38" si="5">+C36+C37</f>
        <v>5795.190869</v>
      </c>
      <c r="D38" s="84">
        <f t="shared" si="5"/>
        <v>11267.441244</v>
      </c>
      <c r="E38" s="84">
        <f t="shared" si="5"/>
        <v>16429.600802000004</v>
      </c>
      <c r="F38" s="84">
        <f>+F36+F37</f>
        <v>33492.232915000008</v>
      </c>
      <c r="G38" s="84">
        <f t="shared" si="5"/>
        <v>1434.522774</v>
      </c>
      <c r="H38" s="84">
        <f t="shared" si="5"/>
        <v>320685.273491</v>
      </c>
      <c r="I38" s="84">
        <f t="shared" si="5"/>
        <v>3432.5449920000001</v>
      </c>
      <c r="J38" s="84">
        <f>+J36+J37</f>
        <v>422747.81606899988</v>
      </c>
      <c r="K38" s="84">
        <f t="shared" si="5"/>
        <v>306639.24999700009</v>
      </c>
      <c r="L38" s="84">
        <f t="shared" si="5"/>
        <v>89577.140918000005</v>
      </c>
      <c r="M38" s="84">
        <f>+M36+M37</f>
        <v>26531.423136999998</v>
      </c>
      <c r="N38" s="84">
        <f t="shared" si="5"/>
        <v>422747.81405199983</v>
      </c>
      <c r="O38" s="81"/>
    </row>
    <row r="49" spans="1:1" x14ac:dyDescent="0.2">
      <c r="A49" s="83"/>
    </row>
    <row r="54" spans="1:1" x14ac:dyDescent="0.2">
      <c r="A54" s="83"/>
    </row>
    <row r="93" spans="1:1" x14ac:dyDescent="0.2">
      <c r="A93" s="83"/>
    </row>
    <row r="102" spans="1:1" x14ac:dyDescent="0.2">
      <c r="A102" s="83"/>
    </row>
    <row r="104" spans="1:1" x14ac:dyDescent="0.2">
      <c r="A104" s="83"/>
    </row>
    <row r="106" spans="1:1" x14ac:dyDescent="0.2">
      <c r="A106" s="83"/>
    </row>
  </sheetData>
  <mergeCells count="4">
    <mergeCell ref="A3:A4"/>
    <mergeCell ref="B3:J3"/>
    <mergeCell ref="K3:N3"/>
    <mergeCell ref="M2:N2"/>
  </mergeCells>
  <pageMargins left="0.05" right="0.05" top="0.5" bottom="0.2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1.140625" style="4" customWidth="1"/>
    <col min="2" max="2" width="9.42578125" style="4" customWidth="1"/>
    <col min="3" max="3" width="11.140625" style="4" customWidth="1"/>
    <col min="4" max="4" width="10" style="4" customWidth="1"/>
    <col min="5" max="5" width="9.7109375" style="4" customWidth="1"/>
    <col min="6" max="6" width="9.5703125" style="4" customWidth="1"/>
    <col min="7" max="7" width="9.7109375" style="4" customWidth="1"/>
    <col min="8" max="8" width="8.42578125" style="4" customWidth="1"/>
    <col min="9" max="9" width="8.5703125" style="4" customWidth="1"/>
    <col min="10" max="10" width="10.28515625" style="4" customWidth="1"/>
    <col min="11" max="11" width="9.42578125" style="4" customWidth="1"/>
    <col min="12" max="12" width="9.5703125" style="4" customWidth="1"/>
    <col min="13" max="14" width="10.42578125" style="4" customWidth="1"/>
    <col min="15" max="16384" width="9.140625" style="4"/>
  </cols>
  <sheetData>
    <row r="1" spans="1:14" x14ac:dyDescent="0.2">
      <c r="A1" s="141" t="s">
        <v>220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x14ac:dyDescent="0.2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143" t="s">
        <v>0</v>
      </c>
      <c r="N2" s="143"/>
    </row>
    <row r="3" spans="1:14" ht="12" customHeight="1" x14ac:dyDescent="0.2">
      <c r="A3" s="137" t="s">
        <v>57</v>
      </c>
      <c r="B3" s="136" t="s">
        <v>106</v>
      </c>
      <c r="C3" s="136"/>
      <c r="D3" s="136"/>
      <c r="E3" s="136"/>
      <c r="F3" s="139" t="s">
        <v>9</v>
      </c>
      <c r="G3" s="139" t="s">
        <v>98</v>
      </c>
      <c r="H3" s="139" t="s">
        <v>104</v>
      </c>
      <c r="I3" s="139" t="s">
        <v>102</v>
      </c>
      <c r="J3" s="139" t="s">
        <v>23</v>
      </c>
      <c r="K3" s="139" t="s">
        <v>24</v>
      </c>
      <c r="L3" s="139" t="s">
        <v>211</v>
      </c>
      <c r="M3" s="139" t="s">
        <v>110</v>
      </c>
      <c r="N3" s="142" t="s">
        <v>91</v>
      </c>
    </row>
    <row r="4" spans="1:14" ht="19.899999999999999" customHeight="1" x14ac:dyDescent="0.2">
      <c r="A4" s="137"/>
      <c r="B4" s="65" t="s">
        <v>107</v>
      </c>
      <c r="C4" s="65" t="s">
        <v>108</v>
      </c>
      <c r="D4" s="65" t="s">
        <v>109</v>
      </c>
      <c r="E4" s="65" t="s">
        <v>19</v>
      </c>
      <c r="F4" s="140"/>
      <c r="G4" s="140"/>
      <c r="H4" s="140"/>
      <c r="I4" s="140"/>
      <c r="J4" s="140"/>
      <c r="K4" s="140"/>
      <c r="L4" s="140"/>
      <c r="M4" s="140"/>
      <c r="N4" s="142"/>
    </row>
    <row r="5" spans="1:14" ht="15" customHeight="1" x14ac:dyDescent="0.2">
      <c r="A5" s="66" t="s">
        <v>228</v>
      </c>
      <c r="B5" s="67">
        <f>5739954998/1000000</f>
        <v>5739.9549980000002</v>
      </c>
      <c r="C5" s="67">
        <f>+(19753407764+142999247)/1000000</f>
        <v>19896.407010999999</v>
      </c>
      <c r="D5" s="67">
        <f>+(385918120+223480907+389859173)/1000000</f>
        <v>999.25819999999999</v>
      </c>
      <c r="E5" s="67">
        <f>SUM(B5:D5)</f>
        <v>26635.620209000001</v>
      </c>
      <c r="F5" s="67">
        <f>+RA_Life!L5</f>
        <v>26635.620209000001</v>
      </c>
      <c r="G5" s="67">
        <f>+RA_Life!B5</f>
        <v>15798.231728000001</v>
      </c>
      <c r="H5" s="67">
        <f>+RA_Life!I5</f>
        <v>2312.7038640000001</v>
      </c>
      <c r="I5" s="67">
        <f>+RA_Life!G5</f>
        <v>0</v>
      </c>
      <c r="J5" s="67">
        <f>+'year_book_2018_life_ non_life'!B5</f>
        <v>95974.083134</v>
      </c>
      <c r="K5" s="67">
        <f>+'year_book_2018_life_ non_life'!C5</f>
        <v>31105.182015999999</v>
      </c>
      <c r="L5" s="67">
        <f>+RA_Life!M5</f>
        <v>12290.022241999999</v>
      </c>
      <c r="M5" s="67">
        <f>+RA_Life!H5</f>
        <v>119417.989393</v>
      </c>
      <c r="N5" s="67">
        <f>+'year_book_2018_life_ non_life'!H5</f>
        <v>142039.92084899996</v>
      </c>
    </row>
    <row r="6" spans="1:14" ht="15" customHeight="1" x14ac:dyDescent="0.2">
      <c r="A6" s="66" t="s">
        <v>75</v>
      </c>
      <c r="B6" s="67">
        <f>42574357/1000000</f>
        <v>42.574356999999999</v>
      </c>
      <c r="C6" s="67">
        <f>11887967/1000000</f>
        <v>11.887967</v>
      </c>
      <c r="D6" s="67">
        <f>14773925/1000000</f>
        <v>14.773925</v>
      </c>
      <c r="E6" s="67">
        <f t="shared" ref="E6:E37" si="0">SUM(B6:D6)</f>
        <v>69.236249000000001</v>
      </c>
      <c r="F6" s="67">
        <f>+RA_Life!L6</f>
        <v>68.234730999999996</v>
      </c>
      <c r="G6" s="67">
        <f>+RA_Life!B6</f>
        <v>7.4002629999999998</v>
      </c>
      <c r="H6" s="67">
        <f>+RA_Life!I6</f>
        <v>0</v>
      </c>
      <c r="I6" s="67">
        <f>+RA_Life!G6</f>
        <v>0</v>
      </c>
      <c r="J6" s="67">
        <f>+'year_book_2018_life_ non_life'!B6</f>
        <v>15</v>
      </c>
      <c r="K6" s="67">
        <f>+'year_book_2018_life_ non_life'!C6</f>
        <v>153</v>
      </c>
      <c r="L6" s="67">
        <f>+RA_Life!M6</f>
        <v>13.438335</v>
      </c>
      <c r="M6" s="67">
        <f>+RA_Life!H6</f>
        <v>11.791655</v>
      </c>
      <c r="N6" s="67">
        <f>+'year_book_2018_life_ non_life'!H6</f>
        <v>231.01248599999997</v>
      </c>
    </row>
    <row r="7" spans="1:14" ht="15" customHeight="1" x14ac:dyDescent="0.2">
      <c r="A7" s="66" t="s">
        <v>76</v>
      </c>
      <c r="B7" s="67">
        <f>52598719/1000000</f>
        <v>52.598719000000003</v>
      </c>
      <c r="C7" s="67">
        <f>54648946/1000000</f>
        <v>54.648946000000002</v>
      </c>
      <c r="D7" s="67">
        <f>2092125/1000000</f>
        <v>2.0921249999999998</v>
      </c>
      <c r="E7" s="67">
        <f t="shared" si="0"/>
        <v>109.33979000000001</v>
      </c>
      <c r="F7" s="67">
        <f>+RA_Life!L7</f>
        <v>109.283693</v>
      </c>
      <c r="G7" s="67">
        <f>+RA_Life!B7</f>
        <v>82.366287</v>
      </c>
      <c r="H7" s="67">
        <f>+RA_Life!I7</f>
        <v>0</v>
      </c>
      <c r="I7" s="67">
        <f>+RA_Life!G7</f>
        <v>0</v>
      </c>
      <c r="J7" s="67">
        <f>+'year_book_2018_life_ non_life'!B7</f>
        <v>258.84945599999998</v>
      </c>
      <c r="K7" s="67">
        <f>+'year_book_2018_life_ non_life'!C7</f>
        <v>0</v>
      </c>
      <c r="L7" s="67">
        <f>+RA_Life!M7</f>
        <v>31.916812</v>
      </c>
      <c r="M7" s="67">
        <f>+RA_Life!H7</f>
        <v>741.78061300000002</v>
      </c>
      <c r="N7" s="67">
        <f>+'year_book_2018_life_ non_life'!H7</f>
        <v>1140.0691509999999</v>
      </c>
    </row>
    <row r="8" spans="1:14" ht="15" customHeight="1" x14ac:dyDescent="0.2">
      <c r="A8" s="66" t="s">
        <v>59</v>
      </c>
      <c r="B8" s="67">
        <f>113320124/1000000</f>
        <v>113.32012400000001</v>
      </c>
      <c r="C8" s="67">
        <f>66877827/1000000</f>
        <v>66.877826999999996</v>
      </c>
      <c r="D8" s="67">
        <f>3052369/1000000</f>
        <v>3.0523690000000001</v>
      </c>
      <c r="E8" s="67">
        <f t="shared" si="0"/>
        <v>183.25031999999999</v>
      </c>
      <c r="F8" s="67">
        <f>+RA_Life!L8</f>
        <v>181.85202899999999</v>
      </c>
      <c r="G8" s="67">
        <f>+RA_Life!B8</f>
        <v>18.594083999999999</v>
      </c>
      <c r="H8" s="67">
        <f>+RA_Life!I8</f>
        <v>0</v>
      </c>
      <c r="I8" s="67">
        <f>+RA_Life!G8</f>
        <v>0</v>
      </c>
      <c r="J8" s="67">
        <f>+'year_book_2018_life_ non_life'!B8</f>
        <v>25.917670999999999</v>
      </c>
      <c r="K8" s="67">
        <f>+'year_book_2018_life_ non_life'!C8</f>
        <v>136.34047000000001</v>
      </c>
      <c r="L8" s="67">
        <f>+RA_Life!M8</f>
        <v>17.7881</v>
      </c>
      <c r="M8" s="67">
        <f>+RA_Life!H8</f>
        <v>25.498923999999999</v>
      </c>
      <c r="N8" s="67">
        <f>+'year_book_2018_life_ non_life'!H8</f>
        <v>263.880582</v>
      </c>
    </row>
    <row r="9" spans="1:14" ht="15" customHeight="1" x14ac:dyDescent="0.2">
      <c r="A9" s="66" t="s">
        <v>229</v>
      </c>
      <c r="B9" s="67">
        <f>41155618/1000000</f>
        <v>41.155617999999997</v>
      </c>
      <c r="C9" s="67">
        <f>48748759/1000000</f>
        <v>48.748759</v>
      </c>
      <c r="D9" s="67">
        <f>20248347/1000000</f>
        <v>20.248346999999999</v>
      </c>
      <c r="E9" s="67">
        <f t="shared" si="0"/>
        <v>110.15272399999999</v>
      </c>
      <c r="F9" s="67">
        <f>+RA_Life!L9</f>
        <v>109.536427</v>
      </c>
      <c r="G9" s="67">
        <f>+RA_Life!B9</f>
        <v>10.738334</v>
      </c>
      <c r="H9" s="67">
        <f>+RA_Life!I9</f>
        <v>0</v>
      </c>
      <c r="I9" s="67">
        <f>+RA_Life!G9</f>
        <v>0</v>
      </c>
      <c r="J9" s="67">
        <f>+'year_book_2018_life_ non_life'!B9</f>
        <v>17.473269999999999</v>
      </c>
      <c r="K9" s="67">
        <f>+'year_book_2018_life_ non_life'!C9</f>
        <v>162.55224899999999</v>
      </c>
      <c r="L9" s="67">
        <f>+RA_Life!M9</f>
        <v>20.660443000000001</v>
      </c>
      <c r="M9" s="67">
        <f>+RA_Life!H9</f>
        <v>42.435355999999999</v>
      </c>
      <c r="N9" s="67">
        <f>+'year_book_2018_life_ non_life'!H9</f>
        <v>262.14855299999999</v>
      </c>
    </row>
    <row r="10" spans="1:14" ht="15" customHeight="1" x14ac:dyDescent="0.2">
      <c r="A10" s="66" t="s">
        <v>78</v>
      </c>
      <c r="B10" s="67">
        <f>1395075198/1000000</f>
        <v>1395.075198</v>
      </c>
      <c r="C10" s="67">
        <f>4588450086/1000000</f>
        <v>4588.4500859999998</v>
      </c>
      <c r="D10" s="67">
        <f>656482271/1000000</f>
        <v>656.48227099999997</v>
      </c>
      <c r="E10" s="67">
        <f>SUM(B10:D10)</f>
        <v>6640.0075549999992</v>
      </c>
      <c r="F10" s="67">
        <f>+RA_Life!L10</f>
        <v>6558.0973780000004</v>
      </c>
      <c r="G10" s="67">
        <f>+RA_Life!B10</f>
        <v>5566.1523559999996</v>
      </c>
      <c r="H10" s="67">
        <f>+RA_Life!I10</f>
        <v>213.5</v>
      </c>
      <c r="I10" s="67">
        <f>+RA_Life!G10</f>
        <v>309.375</v>
      </c>
      <c r="J10" s="67">
        <f>+'year_book_2018_life_ non_life'!B10</f>
        <v>26330.775067999999</v>
      </c>
      <c r="K10" s="67">
        <f>+'year_book_2018_life_ non_life'!C10</f>
        <v>9682.1918069999992</v>
      </c>
      <c r="L10" s="67">
        <f>+RA_Life!M10</f>
        <v>3069.4239299999999</v>
      </c>
      <c r="M10" s="67">
        <f>+RA_Life!H10</f>
        <v>38296.734105000003</v>
      </c>
      <c r="N10" s="67">
        <f>+'year_book_2018_life_ non_life'!H10</f>
        <v>43925.680436999995</v>
      </c>
    </row>
    <row r="11" spans="1:14" ht="15" customHeight="1" x14ac:dyDescent="0.2">
      <c r="A11" s="66" t="s">
        <v>230</v>
      </c>
      <c r="B11" s="67">
        <f>79104069/1000000</f>
        <v>79.104068999999996</v>
      </c>
      <c r="C11" s="67">
        <f>32688178/1000000</f>
        <v>32.688178000000001</v>
      </c>
      <c r="D11" s="67">
        <f>+(1701000+1054200)/1000000</f>
        <v>2.7551999999999999</v>
      </c>
      <c r="E11" s="67">
        <f t="shared" si="0"/>
        <v>114.54744700000001</v>
      </c>
      <c r="F11" s="67">
        <f>+RA_Life!L11</f>
        <v>114.54744700000001</v>
      </c>
      <c r="G11" s="67">
        <f>+RA_Life!B11</f>
        <v>4.7772620000000003</v>
      </c>
      <c r="H11" s="67">
        <f>+RA_Life!I11</f>
        <v>0</v>
      </c>
      <c r="I11" s="67">
        <f>+RA_Life!G11</f>
        <v>0</v>
      </c>
      <c r="J11" s="67">
        <f>+'year_book_2018_life_ non_life'!B11</f>
        <v>15</v>
      </c>
      <c r="K11" s="67">
        <f>+'year_book_2018_life_ non_life'!C11</f>
        <v>120</v>
      </c>
      <c r="L11" s="67">
        <f>+RA_Life!M11</f>
        <v>11.522456999999999</v>
      </c>
      <c r="M11" s="67">
        <f>+RA_Life!H11</f>
        <v>-41.775613</v>
      </c>
      <c r="N11" s="67">
        <f>+'year_book_2018_life_ non_life'!H11</f>
        <v>205.09915100000001</v>
      </c>
    </row>
    <row r="12" spans="1:14" ht="15" customHeight="1" x14ac:dyDescent="0.2">
      <c r="A12" s="66" t="s">
        <v>60</v>
      </c>
      <c r="B12" s="67">
        <f>3068641098/1000000</f>
        <v>3068.6410980000001</v>
      </c>
      <c r="C12" s="67">
        <f>7491777989/1000000</f>
        <v>7491.7779890000002</v>
      </c>
      <c r="D12" s="67">
        <f>27371451/1000000</f>
        <v>27.371451</v>
      </c>
      <c r="E12" s="67">
        <f t="shared" si="0"/>
        <v>10587.790538000001</v>
      </c>
      <c r="F12" s="67">
        <f>+RA_Life!L12</f>
        <v>10560.293132000001</v>
      </c>
      <c r="G12" s="67">
        <f>+RA_Life!B12</f>
        <v>7553.6255209999999</v>
      </c>
      <c r="H12" s="67">
        <f>+RA_Life!I12</f>
        <v>165.61068900000001</v>
      </c>
      <c r="I12" s="67">
        <f>+RA_Life!G12</f>
        <v>186.85687799999999</v>
      </c>
      <c r="J12" s="67">
        <f>+'year_book_2018_life_ non_life'!B12</f>
        <v>10570.552091</v>
      </c>
      <c r="K12" s="67">
        <f>+'year_book_2018_life_ non_life'!C12</f>
        <v>4043.910566</v>
      </c>
      <c r="L12" s="67">
        <f>+RA_Life!M12</f>
        <v>1055.831375</v>
      </c>
      <c r="M12" s="67">
        <f>+RA_Life!H12</f>
        <v>33388.110959999998</v>
      </c>
      <c r="N12" s="67">
        <f>+'year_book_2018_life_ non_life'!H12</f>
        <v>42406.359813999996</v>
      </c>
    </row>
    <row r="13" spans="1:14" ht="15" customHeight="1" x14ac:dyDescent="0.2">
      <c r="A13" s="66" t="s">
        <v>61</v>
      </c>
      <c r="B13" s="67">
        <f>76659342/1000000</f>
        <v>76.659341999999995</v>
      </c>
      <c r="C13" s="67">
        <f>152424000/1000000</f>
        <v>152.42400000000001</v>
      </c>
      <c r="D13" s="67">
        <f>1861529/1000000</f>
        <v>1.861529</v>
      </c>
      <c r="E13" s="67">
        <f t="shared" si="0"/>
        <v>230.94487100000001</v>
      </c>
      <c r="F13" s="67">
        <f>+RA_Life!L13</f>
        <v>230.65163000000001</v>
      </c>
      <c r="G13" s="67">
        <f>+RA_Life!B13</f>
        <v>291.11580300000003</v>
      </c>
      <c r="H13" s="67">
        <f>+RA_Life!I13</f>
        <v>0</v>
      </c>
      <c r="I13" s="67">
        <f>+RA_Life!G13</f>
        <v>0</v>
      </c>
      <c r="J13" s="67">
        <f>+'year_book_2018_life_ non_life'!B13</f>
        <v>4</v>
      </c>
      <c r="K13" s="67">
        <f>+'year_book_2018_life_ non_life'!C13</f>
        <v>43.568420000000003</v>
      </c>
      <c r="L13" s="67">
        <f>+RA_Life!M13</f>
        <v>14.516011000000001</v>
      </c>
      <c r="M13" s="67">
        <f>+RA_Life!H13</f>
        <v>700.42116499999997</v>
      </c>
      <c r="N13" s="67">
        <f>+'year_book_2018_life_ non_life'!H13</f>
        <v>1927.7836319999999</v>
      </c>
    </row>
    <row r="14" spans="1:14" ht="15" customHeight="1" x14ac:dyDescent="0.2">
      <c r="A14" s="66" t="s">
        <v>62</v>
      </c>
      <c r="B14" s="67">
        <f>47508036/1000000</f>
        <v>47.508035999999997</v>
      </c>
      <c r="C14" s="67">
        <f>46013396/1000000</f>
        <v>46.013396</v>
      </c>
      <c r="D14" s="67">
        <f>1996801098/1000000</f>
        <v>1996.8010979999999</v>
      </c>
      <c r="E14" s="67">
        <f t="shared" si="0"/>
        <v>2090.3225299999999</v>
      </c>
      <c r="F14" s="67">
        <f>+RA_Life!L14</f>
        <v>2064.0775119999998</v>
      </c>
      <c r="G14" s="67">
        <f>+RA_Life!B14</f>
        <v>1289.119958</v>
      </c>
      <c r="H14" s="67">
        <f>+RA_Life!I14</f>
        <v>0</v>
      </c>
      <c r="I14" s="67">
        <f>+RA_Life!G14</f>
        <v>0</v>
      </c>
      <c r="J14" s="67">
        <f>+'year_book_2018_life_ non_life'!B14</f>
        <v>351.7</v>
      </c>
      <c r="K14" s="67">
        <f>+'year_book_2018_life_ non_life'!C14</f>
        <v>1427.344464</v>
      </c>
      <c r="L14" s="67">
        <f>+RA_Life!M14</f>
        <v>112.47540100000001</v>
      </c>
      <c r="M14" s="67">
        <f>+RA_Life!H14</f>
        <v>1662.830402</v>
      </c>
      <c r="N14" s="67">
        <f>+'year_book_2018_life_ non_life'!H14</f>
        <v>2134.6282189999997</v>
      </c>
    </row>
    <row r="15" spans="1:14" ht="15" customHeight="1" x14ac:dyDescent="0.2">
      <c r="A15" s="66" t="s">
        <v>72</v>
      </c>
      <c r="B15" s="67">
        <f>433628952/1000000</f>
        <v>433.62895200000003</v>
      </c>
      <c r="C15" s="67">
        <f>706156325/1000000</f>
        <v>706.15632500000004</v>
      </c>
      <c r="D15" s="67">
        <f>3235435/1000000</f>
        <v>3.2354349999999998</v>
      </c>
      <c r="E15" s="67">
        <f t="shared" si="0"/>
        <v>1143.020712</v>
      </c>
      <c r="F15" s="67">
        <f>+RA_Life!L15</f>
        <v>1141.671959</v>
      </c>
      <c r="G15" s="67">
        <f>+RA_Life!B15</f>
        <v>773.51658599999996</v>
      </c>
      <c r="H15" s="67">
        <f>+RA_Life!I15</f>
        <v>0</v>
      </c>
      <c r="I15" s="67">
        <f>+RA_Life!G15</f>
        <v>0</v>
      </c>
      <c r="J15" s="67">
        <f>+'year_book_2018_life_ non_life'!B15</f>
        <v>1223.37625</v>
      </c>
      <c r="K15" s="67">
        <f>+'year_book_2018_life_ non_life'!C15</f>
        <v>142</v>
      </c>
      <c r="L15" s="67">
        <f>+RA_Life!M15</f>
        <v>197.55155300000001</v>
      </c>
      <c r="M15" s="67">
        <f>+RA_Life!H15</f>
        <v>2831.7778600000001</v>
      </c>
      <c r="N15" s="67">
        <f>+'year_book_2018_life_ non_life'!H15</f>
        <v>3274.576341</v>
      </c>
    </row>
    <row r="16" spans="1:14" ht="15" customHeight="1" x14ac:dyDescent="0.2">
      <c r="A16" s="66" t="s">
        <v>63</v>
      </c>
      <c r="B16" s="67">
        <f>42965387/1000000</f>
        <v>42.965387</v>
      </c>
      <c r="C16" s="67">
        <f>41250684/1000000</f>
        <v>41.250684</v>
      </c>
      <c r="D16" s="67">
        <v>0</v>
      </c>
      <c r="E16" s="67">
        <f t="shared" si="0"/>
        <v>84.216070999999999</v>
      </c>
      <c r="F16" s="67">
        <f>+RA_Life!L16</f>
        <v>84.216070999999999</v>
      </c>
      <c r="G16" s="67">
        <f>+RA_Life!B16</f>
        <v>5.0100049999999996</v>
      </c>
      <c r="H16" s="67">
        <f>+RA_Life!I16</f>
        <v>0</v>
      </c>
      <c r="I16" s="67">
        <f>+RA_Life!G16</f>
        <v>0</v>
      </c>
      <c r="J16" s="67">
        <f>+'year_book_2018_life_ non_life'!B16</f>
        <v>115.04239200000001</v>
      </c>
      <c r="K16" s="67">
        <f>+'year_book_2018_life_ non_life'!C16</f>
        <v>40</v>
      </c>
      <c r="L16" s="67">
        <f>+RA_Life!M16</f>
        <v>16.563238999999999</v>
      </c>
      <c r="M16" s="67">
        <f>+RA_Life!H16</f>
        <v>-38.368031000000002</v>
      </c>
      <c r="N16" s="67">
        <f>+'year_book_2018_life_ non_life'!H16</f>
        <v>231.26273400000002</v>
      </c>
    </row>
    <row r="17" spans="1:14" ht="15" customHeight="1" x14ac:dyDescent="0.2">
      <c r="A17" s="66" t="s">
        <v>64</v>
      </c>
      <c r="B17" s="67">
        <f>57761462/1000000</f>
        <v>57.761462000000002</v>
      </c>
      <c r="C17" s="67">
        <f>17706998/1000000</f>
        <v>17.706997999999999</v>
      </c>
      <c r="D17" s="67">
        <f>9351587/1000000</f>
        <v>9.3515870000000003</v>
      </c>
      <c r="E17" s="67">
        <f t="shared" si="0"/>
        <v>84.820046999999988</v>
      </c>
      <c r="F17" s="67">
        <f>+RA_Life!L17</f>
        <v>82.390118999999999</v>
      </c>
      <c r="G17" s="67">
        <f>+RA_Life!B17</f>
        <v>2.267455</v>
      </c>
      <c r="H17" s="67">
        <f>+RA_Life!I17</f>
        <v>0</v>
      </c>
      <c r="I17" s="67">
        <f>+RA_Life!G17</f>
        <v>0</v>
      </c>
      <c r="J17" s="67">
        <f>+'year_book_2018_life_ non_life'!B17</f>
        <v>35</v>
      </c>
      <c r="K17" s="67">
        <f>+'year_book_2018_life_ non_life'!C17</f>
        <v>0</v>
      </c>
      <c r="L17" s="67">
        <f>+RA_Life!M17</f>
        <v>33.024427000000003</v>
      </c>
      <c r="M17" s="67">
        <f>+RA_Life!H17</f>
        <v>1.947862</v>
      </c>
      <c r="N17" s="67">
        <f>+'year_book_2018_life_ non_life'!H17</f>
        <v>619.60714400000006</v>
      </c>
    </row>
    <row r="18" spans="1:14" ht="15" customHeight="1" x14ac:dyDescent="0.2">
      <c r="A18" s="66" t="s">
        <v>65</v>
      </c>
      <c r="B18" s="67">
        <f>1026501565/1000000</f>
        <v>1026.501565</v>
      </c>
      <c r="C18" s="67">
        <f>3270301317/1000000</f>
        <v>3270.3013169999999</v>
      </c>
      <c r="D18" s="67">
        <f>32300540/1000000</f>
        <v>32.300539999999998</v>
      </c>
      <c r="E18" s="67">
        <f t="shared" si="0"/>
        <v>4329.1034220000001</v>
      </c>
      <c r="F18" s="67">
        <f>+RA_Life!L18</f>
        <v>4314.5966609999996</v>
      </c>
      <c r="G18" s="67">
        <f>+RA_Life!B18</f>
        <v>2599.080571</v>
      </c>
      <c r="H18" s="67">
        <f>+RA_Life!I18</f>
        <v>61.607304999999997</v>
      </c>
      <c r="I18" s="67">
        <f>+RA_Life!G18</f>
        <v>67.043825999999996</v>
      </c>
      <c r="J18" s="67">
        <f>+'year_book_2018_life_ non_life'!B18</f>
        <v>5756.7807480000001</v>
      </c>
      <c r="K18" s="67">
        <f>+'year_book_2018_life_ non_life'!C18</f>
        <v>5243.72</v>
      </c>
      <c r="L18" s="67">
        <f>+RA_Life!M18</f>
        <v>979.54979700000001</v>
      </c>
      <c r="M18" s="67">
        <f>+RA_Life!H18</f>
        <v>16867.329039</v>
      </c>
      <c r="N18" s="67">
        <f>+'year_book_2018_life_ non_life'!H18</f>
        <v>18385.539184000001</v>
      </c>
    </row>
    <row r="19" spans="1:14" ht="15" customHeight="1" x14ac:dyDescent="0.2">
      <c r="A19" s="66" t="s">
        <v>79</v>
      </c>
      <c r="B19" s="67">
        <f>73941535/1000000</f>
        <v>73.941535000000002</v>
      </c>
      <c r="C19" s="67">
        <f>35710014/1000000</f>
        <v>35.710014000000001</v>
      </c>
      <c r="D19" s="67">
        <f>1088770/1000000</f>
        <v>1.08877</v>
      </c>
      <c r="E19" s="67">
        <f t="shared" si="0"/>
        <v>110.740319</v>
      </c>
      <c r="F19" s="67">
        <f>+RA_Life!L19</f>
        <v>109.910391</v>
      </c>
      <c r="G19" s="67">
        <f>+RA_Life!B19</f>
        <v>3.0651459999999999</v>
      </c>
      <c r="H19" s="67">
        <f>+RA_Life!I19</f>
        <v>0</v>
      </c>
      <c r="I19" s="67">
        <f>+RA_Life!G19</f>
        <v>0</v>
      </c>
      <c r="J19" s="67">
        <f>+'year_book_2018_life_ non_life'!B19</f>
        <v>15</v>
      </c>
      <c r="K19" s="67">
        <f>+'year_book_2018_life_ non_life'!C19</f>
        <v>154.14710099999999</v>
      </c>
      <c r="L19" s="67">
        <f>+RA_Life!M19</f>
        <v>12.152607</v>
      </c>
      <c r="M19" s="67">
        <f>+RA_Life!H19</f>
        <v>37.225222000000002</v>
      </c>
      <c r="N19" s="67">
        <f>+'year_book_2018_life_ non_life'!H19</f>
        <v>241.08270099999999</v>
      </c>
    </row>
    <row r="20" spans="1:14" ht="15" customHeight="1" x14ac:dyDescent="0.2">
      <c r="A20" s="66" t="s">
        <v>66</v>
      </c>
      <c r="B20" s="67">
        <f>2505310812/1000000</f>
        <v>2505.3108120000002</v>
      </c>
      <c r="C20" s="67">
        <f>7056922775/1000000</f>
        <v>7056.922775</v>
      </c>
      <c r="D20" s="67">
        <f>99137430/1000000</f>
        <v>99.137429999999995</v>
      </c>
      <c r="E20" s="67">
        <f>SUM(B20:D20)</f>
        <v>9661.3710170000013</v>
      </c>
      <c r="F20" s="67">
        <f>+RA_Life!L20</f>
        <v>9635.7531959999997</v>
      </c>
      <c r="G20" s="67">
        <f>+RA_Life!B20</f>
        <v>7135.4320889999999</v>
      </c>
      <c r="H20" s="67">
        <f>+RA_Life!I20</f>
        <v>313.20678500000002</v>
      </c>
      <c r="I20" s="67">
        <f>+RA_Life!G20</f>
        <v>330.28429</v>
      </c>
      <c r="J20" s="67">
        <f>+'year_book_2018_life_ non_life'!B20</f>
        <v>14473.156136</v>
      </c>
      <c r="K20" s="67">
        <f>+'year_book_2018_life_ non_life'!C20</f>
        <v>15496.998473</v>
      </c>
      <c r="L20" s="67">
        <f>+RA_Life!M20</f>
        <v>2912.7710609999999</v>
      </c>
      <c r="M20" s="67">
        <f>+RA_Life!H20</f>
        <v>34615.557543000003</v>
      </c>
      <c r="N20" s="67">
        <f>+'year_book_2018_life_ non_life'!H20</f>
        <v>42627.743971999997</v>
      </c>
    </row>
    <row r="21" spans="1:14" ht="15" customHeight="1" x14ac:dyDescent="0.2">
      <c r="A21" s="66" t="s">
        <v>67</v>
      </c>
      <c r="B21" s="67">
        <f>47005658/1000000</f>
        <v>47.005657999999997</v>
      </c>
      <c r="C21" s="67">
        <f>12699580/1000000</f>
        <v>12.699579999999999</v>
      </c>
      <c r="D21" s="67">
        <f>1503900/1000000</f>
        <v>1.5039</v>
      </c>
      <c r="E21" s="67">
        <f t="shared" si="0"/>
        <v>61.209137999999996</v>
      </c>
      <c r="F21" s="67">
        <f>+RA_Life!L21</f>
        <v>60.755203999999999</v>
      </c>
      <c r="G21" s="67">
        <f>+RA_Life!B21</f>
        <v>3.9702899999999999</v>
      </c>
      <c r="H21" s="67">
        <f>+RA_Life!I21</f>
        <v>0</v>
      </c>
      <c r="I21" s="67">
        <f>+RA_Life!G21</f>
        <v>0</v>
      </c>
      <c r="J21" s="67">
        <f>+'year_book_2018_life_ non_life'!B21</f>
        <v>16</v>
      </c>
      <c r="K21" s="67">
        <f>+'year_book_2018_life_ non_life'!C21</f>
        <v>148.00391999999999</v>
      </c>
      <c r="L21" s="67">
        <f>+RA_Life!M21</f>
        <v>21.303518</v>
      </c>
      <c r="M21" s="67">
        <f>+RA_Life!H21</f>
        <v>-21.904446</v>
      </c>
      <c r="N21" s="67">
        <f>+'year_book_2018_life_ non_life'!H21</f>
        <v>191.53022399999998</v>
      </c>
    </row>
    <row r="22" spans="1:14" ht="15" customHeight="1" x14ac:dyDescent="0.2">
      <c r="A22" s="66" t="s">
        <v>73</v>
      </c>
      <c r="B22" s="67">
        <f>58200710/1000000</f>
        <v>58.200710000000001</v>
      </c>
      <c r="C22" s="67">
        <f>23947003/1000000</f>
        <v>23.947002999999999</v>
      </c>
      <c r="D22" s="67">
        <f>157908851/1000000</f>
        <v>157.908851</v>
      </c>
      <c r="E22" s="67">
        <f t="shared" si="0"/>
        <v>240.05656399999998</v>
      </c>
      <c r="F22" s="67">
        <f>+RA_Life!L22</f>
        <v>203.69028299999999</v>
      </c>
      <c r="G22" s="67">
        <f>+RA_Life!B22</f>
        <v>43.092866999999998</v>
      </c>
      <c r="H22" s="67">
        <f>+RA_Life!I22</f>
        <v>0</v>
      </c>
      <c r="I22" s="67">
        <f>+RA_Life!G22</f>
        <v>0</v>
      </c>
      <c r="J22" s="67">
        <f>+'year_book_2018_life_ non_life'!B22</f>
        <v>15</v>
      </c>
      <c r="K22" s="67">
        <f>+'year_book_2018_life_ non_life'!C22</f>
        <v>85</v>
      </c>
      <c r="L22" s="67">
        <f>+RA_Life!M22</f>
        <v>7.196663</v>
      </c>
      <c r="M22" s="67">
        <f>+RA_Life!H22</f>
        <v>1.156738</v>
      </c>
      <c r="N22" s="67">
        <f>+'year_book_2018_life_ non_life'!H22</f>
        <v>207.251812</v>
      </c>
    </row>
    <row r="23" spans="1:14" ht="15" customHeight="1" x14ac:dyDescent="0.2">
      <c r="A23" s="66" t="s">
        <v>212</v>
      </c>
      <c r="B23" s="67">
        <f>127668536/1000000</f>
        <v>127.668536</v>
      </c>
      <c r="C23" s="67">
        <f>498074489/1000000</f>
        <v>498.07448900000003</v>
      </c>
      <c r="D23" s="67">
        <f>26281058/1000000</f>
        <v>26.281058000000002</v>
      </c>
      <c r="E23" s="67">
        <f t="shared" si="0"/>
        <v>652.02408300000002</v>
      </c>
      <c r="F23" s="67">
        <f>+RA_Life!L23</f>
        <v>647.781654</v>
      </c>
      <c r="G23" s="67">
        <f>+RA_Life!B23</f>
        <v>527.98614599999996</v>
      </c>
      <c r="H23" s="67">
        <f>+RA_Life!I23</f>
        <v>11.5</v>
      </c>
      <c r="I23" s="67">
        <f>+RA_Life!G23</f>
        <v>0</v>
      </c>
      <c r="J23" s="67">
        <f>+'year_book_2018_life_ non_life'!B23</f>
        <v>1426.7424900000001</v>
      </c>
      <c r="K23" s="67">
        <f>+'year_book_2018_life_ non_life'!C23</f>
        <v>860</v>
      </c>
      <c r="L23" s="67">
        <f>+RA_Life!M23</f>
        <v>251.05171200000001</v>
      </c>
      <c r="M23" s="67">
        <f>+RA_Life!H23</f>
        <v>2756.0111750000001</v>
      </c>
      <c r="N23" s="67">
        <f>+'year_book_2018_life_ non_life'!H23</f>
        <v>3335.8754580000004</v>
      </c>
    </row>
    <row r="24" spans="1:14" ht="15" customHeight="1" x14ac:dyDescent="0.2">
      <c r="A24" s="66" t="s">
        <v>68</v>
      </c>
      <c r="B24" s="67">
        <f>1137364805/1000000</f>
        <v>1137.3648049999999</v>
      </c>
      <c r="C24" s="67">
        <f>2458328501/1000000</f>
        <v>2458.328501</v>
      </c>
      <c r="D24" s="67">
        <f>27046660/1000000</f>
        <v>27.046659999999999</v>
      </c>
      <c r="E24" s="67">
        <f t="shared" si="0"/>
        <v>3622.7399660000001</v>
      </c>
      <c r="F24" s="67">
        <f>+RA_Life!L24</f>
        <v>3611.3775310000001</v>
      </c>
      <c r="G24" s="67">
        <f>+RA_Life!B24</f>
        <v>2178.0177079999999</v>
      </c>
      <c r="H24" s="67">
        <f>+RA_Life!I24</f>
        <v>32.5</v>
      </c>
      <c r="I24" s="67">
        <f>+RA_Life!G24</f>
        <v>45.780344999999997</v>
      </c>
      <c r="J24" s="67">
        <f>+'year_book_2018_life_ non_life'!B24</f>
        <v>3085.2178640000002</v>
      </c>
      <c r="K24" s="67">
        <f>+'year_book_2018_life_ non_life'!C24</f>
        <v>746.32845499999996</v>
      </c>
      <c r="L24" s="67">
        <f>+RA_Life!M24</f>
        <v>421.40206799999999</v>
      </c>
      <c r="M24" s="67">
        <f>+RA_Life!H24</f>
        <v>8809.8879410000009</v>
      </c>
      <c r="N24" s="67">
        <f>+'year_book_2018_life_ non_life'!H24</f>
        <v>9923.6329900000001</v>
      </c>
    </row>
    <row r="25" spans="1:14" ht="15" customHeight="1" x14ac:dyDescent="0.2">
      <c r="A25" s="66" t="s">
        <v>80</v>
      </c>
      <c r="B25" s="67">
        <f>5590631673/1000000</f>
        <v>5590.6316729999999</v>
      </c>
      <c r="C25" s="67">
        <f>2448059417/1000000</f>
        <v>2448.0594169999999</v>
      </c>
      <c r="D25" s="67">
        <f>1074725/1000000</f>
        <v>1.0747249999999999</v>
      </c>
      <c r="E25" s="67">
        <f t="shared" si="0"/>
        <v>8039.7658150000007</v>
      </c>
      <c r="F25" s="67">
        <f>+RA_Life!L25</f>
        <v>8032.9075469999998</v>
      </c>
      <c r="G25" s="67">
        <f>+RA_Life!B25</f>
        <v>9220.881523</v>
      </c>
      <c r="H25" s="67">
        <f>+RA_Life!I25</f>
        <v>132.64364499999999</v>
      </c>
      <c r="I25" s="67">
        <f>+RA_Life!G25</f>
        <v>241.71343200000001</v>
      </c>
      <c r="J25" s="67">
        <f>+'year_book_2018_life_ non_life'!B25</f>
        <v>9117.8434259999995</v>
      </c>
      <c r="K25" s="67">
        <f>+'year_book_2018_life_ non_life'!C25</f>
        <v>4280.3057179999996</v>
      </c>
      <c r="L25" s="67">
        <f>+RA_Life!M25</f>
        <v>1623.5357300000001</v>
      </c>
      <c r="M25" s="67">
        <f>+RA_Life!H25</f>
        <v>17871.494505999999</v>
      </c>
      <c r="N25" s="67">
        <f>+'year_book_2018_life_ non_life'!H25</f>
        <v>19645.641201000002</v>
      </c>
    </row>
    <row r="26" spans="1:14" ht="15" customHeight="1" x14ac:dyDescent="0.2">
      <c r="A26" s="66" t="s">
        <v>81</v>
      </c>
      <c r="B26" s="67">
        <f>82751769/1000000</f>
        <v>82.751768999999996</v>
      </c>
      <c r="C26" s="67">
        <f>470830761/1000000</f>
        <v>470.830761</v>
      </c>
      <c r="D26" s="67">
        <f>35199199/1000000</f>
        <v>35.199199</v>
      </c>
      <c r="E26" s="67">
        <f t="shared" si="0"/>
        <v>588.78172900000004</v>
      </c>
      <c r="F26" s="67">
        <f>+RA_Life!L26</f>
        <v>578.63082999999995</v>
      </c>
      <c r="G26" s="67">
        <f>+RA_Life!B26</f>
        <v>1065.9535080000001</v>
      </c>
      <c r="H26" s="67">
        <f>+RA_Life!I26</f>
        <v>0</v>
      </c>
      <c r="I26" s="67">
        <f>+RA_Life!G26</f>
        <v>0</v>
      </c>
      <c r="J26" s="67">
        <f>+'year_book_2018_life_ non_life'!B26</f>
        <v>396.80648500000001</v>
      </c>
      <c r="K26" s="67">
        <f>+'year_book_2018_life_ non_life'!C26</f>
        <v>83.271578000000005</v>
      </c>
      <c r="L26" s="67">
        <f>+RA_Life!M26</f>
        <v>82.988650000000007</v>
      </c>
      <c r="M26" s="67">
        <f>+RA_Life!H26</f>
        <v>453.96730100000002</v>
      </c>
      <c r="N26" s="67">
        <f>+'year_book_2018_life_ non_life'!H26</f>
        <v>2238.660918</v>
      </c>
    </row>
    <row r="27" spans="1:14" ht="15" customHeight="1" x14ac:dyDescent="0.2">
      <c r="A27" s="66" t="s">
        <v>82</v>
      </c>
      <c r="B27" s="67">
        <f>676180436/1000000</f>
        <v>676.18043599999999</v>
      </c>
      <c r="C27" s="67">
        <f>1024931957/1000000</f>
        <v>1024.931957</v>
      </c>
      <c r="D27" s="67">
        <f>858787978/1000000</f>
        <v>858.78797799999995</v>
      </c>
      <c r="E27" s="67">
        <f t="shared" si="0"/>
        <v>2559.9003709999997</v>
      </c>
      <c r="F27" s="67">
        <f>+RA_Life!L27</f>
        <v>2559.2678430000001</v>
      </c>
      <c r="G27" s="67">
        <f>+RA_Life!B27</f>
        <v>1663.3083790000001</v>
      </c>
      <c r="H27" s="67">
        <f>+RA_Life!I27</f>
        <v>20</v>
      </c>
      <c r="I27" s="67">
        <f>+RA_Life!G27</f>
        <v>30.339030999999999</v>
      </c>
      <c r="J27" s="67">
        <f>+'year_book_2018_life_ non_life'!B27</f>
        <v>2658.2762309999998</v>
      </c>
      <c r="K27" s="67">
        <f>+'year_book_2018_life_ non_life'!C27</f>
        <v>1961.9087469999999</v>
      </c>
      <c r="L27" s="67">
        <f>+RA_Life!M27</f>
        <v>405.583912</v>
      </c>
      <c r="M27" s="67">
        <f>+RA_Life!H27</f>
        <v>5549.4061799999999</v>
      </c>
      <c r="N27" s="67">
        <f>+'year_book_2018_life_ non_life'!H27</f>
        <v>5762.4827919999989</v>
      </c>
    </row>
    <row r="28" spans="1:14" ht="15" customHeight="1" x14ac:dyDescent="0.2">
      <c r="A28" s="66" t="s">
        <v>74</v>
      </c>
      <c r="B28" s="67">
        <f>850656798/1000000</f>
        <v>850.65679799999998</v>
      </c>
      <c r="C28" s="67">
        <f>1301824829/1000000</f>
        <v>1301.8248289999999</v>
      </c>
      <c r="D28" s="67">
        <f>5281650/1000000</f>
        <v>5.28165</v>
      </c>
      <c r="E28" s="67">
        <f t="shared" si="0"/>
        <v>2157.763277</v>
      </c>
      <c r="F28" s="67">
        <f>+RA_Life!L28</f>
        <v>2154.3732920000002</v>
      </c>
      <c r="G28" s="67">
        <f>+RA_Life!B28</f>
        <v>1158.409991</v>
      </c>
      <c r="H28" s="67">
        <f>+RA_Life!I28</f>
        <v>22.555757</v>
      </c>
      <c r="I28" s="67">
        <f>+RA_Life!G28</f>
        <v>33.287016999999999</v>
      </c>
      <c r="J28" s="67">
        <f>+'year_book_2018_life_ non_life'!B28</f>
        <v>1395.2099430000001</v>
      </c>
      <c r="K28" s="67">
        <f>+'year_book_2018_life_ non_life'!C28</f>
        <v>767.17463699999996</v>
      </c>
      <c r="L28" s="67">
        <f>+RA_Life!M28</f>
        <v>252.47179199999999</v>
      </c>
      <c r="M28" s="67">
        <f>+RA_Life!H28</f>
        <v>4503.9936509999998</v>
      </c>
      <c r="N28" s="67">
        <f>+'year_book_2018_life_ non_life'!H28</f>
        <v>5451.4470309999997</v>
      </c>
    </row>
    <row r="29" spans="1:14" ht="15" customHeight="1" x14ac:dyDescent="0.2">
      <c r="A29" s="66" t="s">
        <v>69</v>
      </c>
      <c r="B29" s="67">
        <f>441346416/1000000</f>
        <v>441.34641599999998</v>
      </c>
      <c r="C29" s="67">
        <f>1110799245/1000000</f>
        <v>1110.7992449999999</v>
      </c>
      <c r="D29" s="67">
        <f>15765910/1000000</f>
        <v>15.76591</v>
      </c>
      <c r="E29" s="67">
        <f t="shared" si="0"/>
        <v>1567.9115710000001</v>
      </c>
      <c r="F29" s="67">
        <f>+RA_Life!L29</f>
        <v>1561.6696589999999</v>
      </c>
      <c r="G29" s="67">
        <f>+RA_Life!B29</f>
        <v>1661.864084</v>
      </c>
      <c r="H29" s="67">
        <f>+RA_Life!I29</f>
        <v>45.480592000000001</v>
      </c>
      <c r="I29" s="67">
        <f>+RA_Life!G29</f>
        <v>182.83105499999999</v>
      </c>
      <c r="J29" s="67">
        <f>+'year_book_2018_life_ non_life'!B29</f>
        <v>3611.8319160000001</v>
      </c>
      <c r="K29" s="67">
        <f>+'year_book_2018_life_ non_life'!C29</f>
        <v>3418.6863320000002</v>
      </c>
      <c r="L29" s="67">
        <f>+RA_Life!M29</f>
        <v>848.77857600000004</v>
      </c>
      <c r="M29" s="67">
        <f>+RA_Life!H29</f>
        <v>8372.6917880000001</v>
      </c>
      <c r="N29" s="67">
        <f>+'year_book_2018_life_ non_life'!H29</f>
        <v>10860.900277000001</v>
      </c>
    </row>
    <row r="30" spans="1:14" ht="15" customHeight="1" x14ac:dyDescent="0.2">
      <c r="A30" s="66" t="s">
        <v>70</v>
      </c>
      <c r="B30" s="67">
        <f>+(412184934+13374521)/1000000</f>
        <v>425.55945500000001</v>
      </c>
      <c r="C30" s="67">
        <f>621658731/1000000</f>
        <v>621.65873099999999</v>
      </c>
      <c r="D30" s="67">
        <f>1270477/1000000</f>
        <v>1.2704770000000001</v>
      </c>
      <c r="E30" s="67">
        <f t="shared" si="0"/>
        <v>1048.4886630000001</v>
      </c>
      <c r="F30" s="67">
        <f>+RA_Life!L30</f>
        <v>1043.9008140000001</v>
      </c>
      <c r="G30" s="67">
        <f>+RA_Life!B30</f>
        <v>548.40647200000001</v>
      </c>
      <c r="H30" s="67">
        <f>+RA_Life!I30</f>
        <v>0</v>
      </c>
      <c r="I30" s="67">
        <f>+RA_Life!G30</f>
        <v>0</v>
      </c>
      <c r="J30" s="67">
        <f>+'year_book_2018_life_ non_life'!B30</f>
        <v>538.58607500000005</v>
      </c>
      <c r="K30" s="67">
        <f>+'year_book_2018_life_ non_life'!C30</f>
        <v>149.88716199999999</v>
      </c>
      <c r="L30" s="67">
        <f>+RA_Life!M30</f>
        <v>82.330171000000007</v>
      </c>
      <c r="M30" s="67">
        <f>+RA_Life!H30</f>
        <v>1641.905563</v>
      </c>
      <c r="N30" s="67">
        <f>+'year_book_2018_life_ non_life'!H30</f>
        <v>1859.0738999999999</v>
      </c>
    </row>
    <row r="31" spans="1:14" ht="15" customHeight="1" x14ac:dyDescent="0.2">
      <c r="A31" s="66" t="s">
        <v>83</v>
      </c>
      <c r="B31" s="67">
        <f>226677422/1000000</f>
        <v>226.67742200000001</v>
      </c>
      <c r="C31" s="67">
        <f>529602945/1000000</f>
        <v>529.60294499999998</v>
      </c>
      <c r="D31" s="67">
        <f>50829217/1000000</f>
        <v>50.829217</v>
      </c>
      <c r="E31" s="67">
        <f t="shared" si="0"/>
        <v>807.10958399999993</v>
      </c>
      <c r="F31" s="67">
        <f>+RA_Life!L31</f>
        <v>806.24006799999995</v>
      </c>
      <c r="G31" s="67">
        <f>+RA_Life!B31</f>
        <v>952.47770000000003</v>
      </c>
      <c r="H31" s="67">
        <f>+RA_Life!I31</f>
        <v>0</v>
      </c>
      <c r="I31" s="67">
        <f>+RA_Life!G31</f>
        <v>7.0118999999999998</v>
      </c>
      <c r="J31" s="67">
        <f>+'year_book_2018_life_ non_life'!B31</f>
        <v>653.80459099999996</v>
      </c>
      <c r="K31" s="67">
        <f>+'year_book_2018_life_ non_life'!C31</f>
        <v>386.09788700000001</v>
      </c>
      <c r="L31" s="67">
        <f>+RA_Life!M31</f>
        <v>104.73371400000001</v>
      </c>
      <c r="M31" s="67">
        <f>+RA_Life!H31</f>
        <v>2408.602367</v>
      </c>
      <c r="N31" s="67">
        <f>+'year_book_2018_life_ non_life'!H31</f>
        <v>2941.3891170000002</v>
      </c>
    </row>
    <row r="32" spans="1:14" ht="15" customHeight="1" x14ac:dyDescent="0.2">
      <c r="A32" s="66" t="s">
        <v>84</v>
      </c>
      <c r="B32" s="67">
        <f>516602001/1000000</f>
        <v>516.60200099999997</v>
      </c>
      <c r="C32" s="67">
        <f>123618713/1000000</f>
        <v>123.618713</v>
      </c>
      <c r="D32" s="67">
        <f>37689413/1000000</f>
        <v>37.689413000000002</v>
      </c>
      <c r="E32" s="67">
        <f t="shared" si="0"/>
        <v>677.91012699999987</v>
      </c>
      <c r="F32" s="67">
        <f>+RA_Life!L32</f>
        <v>675.849377</v>
      </c>
      <c r="G32" s="67">
        <f>+RA_Life!B32</f>
        <v>57.139400999999999</v>
      </c>
      <c r="H32" s="67">
        <f>+RA_Life!I32</f>
        <v>0</v>
      </c>
      <c r="I32" s="67">
        <f>+RA_Life!G32</f>
        <v>0</v>
      </c>
      <c r="J32" s="67">
        <f>+'year_book_2018_life_ non_life'!B32</f>
        <v>231.517651</v>
      </c>
      <c r="K32" s="67">
        <f>+'year_book_2018_life_ non_life'!C32</f>
        <v>233.4</v>
      </c>
      <c r="L32" s="67">
        <f>+RA_Life!M32</f>
        <v>41.992207999999998</v>
      </c>
      <c r="M32" s="67">
        <f>+RA_Life!H32</f>
        <v>601.48763599999995</v>
      </c>
      <c r="N32" s="67">
        <f>+'year_book_2018_life_ non_life'!H32</f>
        <v>946.96028799999999</v>
      </c>
    </row>
    <row r="33" spans="1:14" ht="15" customHeight="1" x14ac:dyDescent="0.2">
      <c r="A33" s="66" t="s">
        <v>71</v>
      </c>
      <c r="B33" s="67">
        <f>14446459/1000000</f>
        <v>14.446459000000001</v>
      </c>
      <c r="C33" s="67">
        <f>8119383/1000000</f>
        <v>8.1193829999999991</v>
      </c>
      <c r="D33" s="67">
        <f>3686035/1000000</f>
        <v>3.686035</v>
      </c>
      <c r="E33" s="67">
        <f t="shared" si="0"/>
        <v>26.251877</v>
      </c>
      <c r="F33" s="67">
        <f>+RA_Life!L33</f>
        <v>26.205264</v>
      </c>
      <c r="G33" s="67">
        <f>+RA_Life!B33</f>
        <v>2.2747160000000002</v>
      </c>
      <c r="H33" s="67">
        <f>+RA_Life!I33</f>
        <v>0.23635500000000001</v>
      </c>
      <c r="I33" s="67">
        <f>+RA_Life!G33</f>
        <v>0</v>
      </c>
      <c r="J33" s="67">
        <f>+'year_book_2018_life_ non_life'!B33</f>
        <v>15</v>
      </c>
      <c r="K33" s="67">
        <f>+'year_book_2018_life_ non_life'!C33</f>
        <v>131.04</v>
      </c>
      <c r="L33" s="67">
        <f>+RA_Life!M33</f>
        <v>13.140782</v>
      </c>
      <c r="M33" s="67">
        <f>+RA_Life!H33</f>
        <v>-27.079495000000001</v>
      </c>
      <c r="N33" s="67">
        <f>+'year_book_2018_life_ non_life'!H33</f>
        <v>180.778524</v>
      </c>
    </row>
    <row r="34" spans="1:14" ht="15" customHeight="1" x14ac:dyDescent="0.2">
      <c r="A34" s="66" t="s">
        <v>85</v>
      </c>
      <c r="B34" s="67">
        <f>155781465/1000000</f>
        <v>155.781465</v>
      </c>
      <c r="C34" s="67">
        <f>+(62949795+8215800)/1000000</f>
        <v>71.165594999999996</v>
      </c>
      <c r="D34" s="67">
        <f>1190400/1000000</f>
        <v>1.1903999999999999</v>
      </c>
      <c r="E34" s="67">
        <f t="shared" si="0"/>
        <v>228.13746</v>
      </c>
      <c r="F34" s="67">
        <f>+RA_Life!L34</f>
        <v>226.267551</v>
      </c>
      <c r="G34" s="67">
        <f>+RA_Life!B34</f>
        <v>14.342280000000001</v>
      </c>
      <c r="H34" s="67">
        <f>+RA_Life!I34</f>
        <v>0</v>
      </c>
      <c r="I34" s="67">
        <f>+RA_Life!G34</f>
        <v>0</v>
      </c>
      <c r="J34" s="67">
        <f>+'year_book_2018_life_ non_life'!B34</f>
        <v>15</v>
      </c>
      <c r="K34" s="67">
        <f>+'year_book_2018_life_ non_life'!C34</f>
        <v>140</v>
      </c>
      <c r="L34" s="67">
        <f>+RA_Life!M34</f>
        <v>13.689318</v>
      </c>
      <c r="M34" s="67">
        <f>+RA_Life!H34</f>
        <v>3.705082</v>
      </c>
      <c r="N34" s="67">
        <f>+'year_book_2018_life_ non_life'!H34</f>
        <v>257.947022</v>
      </c>
    </row>
    <row r="35" spans="1:14" ht="15" customHeight="1" x14ac:dyDescent="0.2">
      <c r="A35" s="66" t="s">
        <v>86</v>
      </c>
      <c r="B35" s="67">
        <f>228122519/1000000</f>
        <v>228.12251900000001</v>
      </c>
      <c r="C35" s="67">
        <f>62391091/1000000</f>
        <v>62.391091000000003</v>
      </c>
      <c r="D35" s="67">
        <f>4674444/1000000</f>
        <v>4.6744440000000003</v>
      </c>
      <c r="E35" s="67">
        <f t="shared" si="0"/>
        <v>295.18805400000002</v>
      </c>
      <c r="F35" s="67">
        <f>+RA_Life!L35</f>
        <v>295.10866099999998</v>
      </c>
      <c r="G35" s="67">
        <f>+RA_Life!B35</f>
        <v>28.339528999999999</v>
      </c>
      <c r="H35" s="67">
        <f>+RA_Life!I35</f>
        <v>0</v>
      </c>
      <c r="I35" s="67">
        <f>+RA_Life!G35</f>
        <v>0</v>
      </c>
      <c r="J35" s="67">
        <f>+'year_book_2018_life_ non_life'!B35</f>
        <v>15</v>
      </c>
      <c r="K35" s="67">
        <f>+'year_book_2018_life_ non_life'!C35</f>
        <v>131.19999999999999</v>
      </c>
      <c r="L35" s="67">
        <f>+RA_Life!M35</f>
        <v>13.421628</v>
      </c>
      <c r="M35" s="67">
        <f>+RA_Life!H35</f>
        <v>-53.051945000000003</v>
      </c>
      <c r="N35" s="67">
        <f>+'year_book_2018_life_ non_life'!H35</f>
        <v>222.301841</v>
      </c>
    </row>
    <row r="36" spans="1:14" ht="15" customHeight="1" x14ac:dyDescent="0.2">
      <c r="A36" s="63" t="s">
        <v>87</v>
      </c>
      <c r="B36" s="84">
        <f t="shared" ref="B36:G36" si="1">SUM(B5:B35)</f>
        <v>25375.697393999992</v>
      </c>
      <c r="C36" s="84">
        <f t="shared" si="1"/>
        <v>54284.024511999989</v>
      </c>
      <c r="D36" s="84">
        <f t="shared" si="1"/>
        <v>5098.0001940000011</v>
      </c>
      <c r="E36" s="84">
        <f t="shared" si="1"/>
        <v>84757.722099999999</v>
      </c>
      <c r="F36" s="84">
        <f t="shared" si="1"/>
        <v>84484.758163000006</v>
      </c>
      <c r="G36" s="84">
        <f t="shared" si="1"/>
        <v>60266.958042000006</v>
      </c>
      <c r="H36" s="84">
        <f t="shared" ref="H36:N36" si="2">SUM(H5:H35)</f>
        <v>3331.5449920000001</v>
      </c>
      <c r="I36" s="84">
        <f t="shared" si="2"/>
        <v>1434.522774</v>
      </c>
      <c r="J36" s="84">
        <f t="shared" si="2"/>
        <v>178373.54288800003</v>
      </c>
      <c r="K36" s="84">
        <f t="shared" si="2"/>
        <v>81473.260001999981</v>
      </c>
      <c r="L36" s="84">
        <f t="shared" si="2"/>
        <v>24972.828232</v>
      </c>
      <c r="M36" s="84">
        <f t="shared" si="2"/>
        <v>301433.560497</v>
      </c>
      <c r="N36" s="84">
        <f t="shared" si="2"/>
        <v>363942.26834499993</v>
      </c>
    </row>
    <row r="37" spans="1:14" ht="15" customHeight="1" x14ac:dyDescent="0.2">
      <c r="A37" s="66" t="s">
        <v>88</v>
      </c>
      <c r="B37" s="67">
        <f>1082752463/1000000</f>
        <v>1082.752463</v>
      </c>
      <c r="C37" s="67">
        <f>3603069422/1000000</f>
        <v>3603.069422</v>
      </c>
      <c r="D37" s="67">
        <f>+(201946+406358924)/1000000</f>
        <v>406.56087000000002</v>
      </c>
      <c r="E37" s="67">
        <f t="shared" si="0"/>
        <v>5092.3827550000005</v>
      </c>
      <c r="F37" s="67">
        <f>+RA_Life!L37</f>
        <v>5092.3827549999996</v>
      </c>
      <c r="G37" s="67">
        <f>+RA_Life!B37</f>
        <v>3436.2838550000001</v>
      </c>
      <c r="H37" s="67">
        <f>+RA_Life!I37</f>
        <v>101</v>
      </c>
      <c r="I37" s="67">
        <f>+RA_Life!G37</f>
        <v>0</v>
      </c>
      <c r="J37" s="67">
        <f>+'year_book_2018_life_ non_life'!B37</f>
        <v>5504.0267510000003</v>
      </c>
      <c r="K37" s="67">
        <f>+'year_book_2018_life_ non_life'!C37</f>
        <v>8634.7685590000001</v>
      </c>
      <c r="L37" s="67">
        <f>+RA_Life!M37</f>
        <v>1558.5949049999999</v>
      </c>
      <c r="M37" s="67">
        <f>+RA_Life!H37</f>
        <v>19251.712994000001</v>
      </c>
      <c r="N37" s="67">
        <f>+'year_book_2018_life_ non_life'!H37</f>
        <v>20928.122409000003</v>
      </c>
    </row>
    <row r="38" spans="1:14" ht="15" customHeight="1" x14ac:dyDescent="0.2">
      <c r="A38" s="63" t="s">
        <v>89</v>
      </c>
      <c r="B38" s="84">
        <f>+B36+B37</f>
        <v>26458.449856999992</v>
      </c>
      <c r="C38" s="84">
        <f t="shared" ref="C38:M38" si="3">+C36+C37</f>
        <v>57887.09393399999</v>
      </c>
      <c r="D38" s="84">
        <f t="shared" si="3"/>
        <v>5504.5610640000014</v>
      </c>
      <c r="E38" s="84">
        <f t="shared" si="3"/>
        <v>89850.104854999998</v>
      </c>
      <c r="F38" s="84">
        <f t="shared" si="3"/>
        <v>89577.140918000005</v>
      </c>
      <c r="G38" s="84">
        <f t="shared" si="3"/>
        <v>63703.241897000007</v>
      </c>
      <c r="H38" s="84">
        <f t="shared" si="3"/>
        <v>3432.5449920000001</v>
      </c>
      <c r="I38" s="84">
        <f t="shared" si="3"/>
        <v>1434.522774</v>
      </c>
      <c r="J38" s="84">
        <f t="shared" si="3"/>
        <v>183877.56963900002</v>
      </c>
      <c r="K38" s="84">
        <f t="shared" si="3"/>
        <v>90108.028560999985</v>
      </c>
      <c r="L38" s="84">
        <f t="shared" si="3"/>
        <v>26531.423136999998</v>
      </c>
      <c r="M38" s="84">
        <f t="shared" si="3"/>
        <v>320685.273491</v>
      </c>
      <c r="N38" s="84">
        <f>+N36+N37</f>
        <v>384870.39075399993</v>
      </c>
    </row>
  </sheetData>
  <mergeCells count="13">
    <mergeCell ref="H3:H4"/>
    <mergeCell ref="I3:I4"/>
    <mergeCell ref="J3:J4"/>
    <mergeCell ref="K3:K4"/>
    <mergeCell ref="L3:L4"/>
    <mergeCell ref="A1:N1"/>
    <mergeCell ref="M3:M4"/>
    <mergeCell ref="N3:N4"/>
    <mergeCell ref="M2:N2"/>
    <mergeCell ref="A3:A4"/>
    <mergeCell ref="B3:E3"/>
    <mergeCell ref="F3:F4"/>
    <mergeCell ref="G3:G4"/>
  </mergeCells>
  <pageMargins left="0.02" right="0.01" top="0.4" bottom="0.2" header="0.3" footer="0.3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5" workbookViewId="0">
      <selection activeCell="B2" sqref="B2"/>
    </sheetView>
  </sheetViews>
  <sheetFormatPr defaultRowHeight="12.75" x14ac:dyDescent="0.2"/>
  <cols>
    <col min="1" max="1" width="22.28515625" style="4" customWidth="1"/>
    <col min="2" max="2" width="11.7109375" style="4" customWidth="1"/>
    <col min="3" max="3" width="10.7109375" style="4" customWidth="1"/>
    <col min="4" max="4" width="10" style="4" customWidth="1"/>
    <col min="5" max="5" width="9" style="4" customWidth="1"/>
    <col min="6" max="6" width="10.28515625" style="4" customWidth="1"/>
    <col min="7" max="7" width="10" style="4" customWidth="1"/>
    <col min="8" max="8" width="8.140625" style="4" customWidth="1"/>
    <col min="9" max="16384" width="9.140625" style="4"/>
  </cols>
  <sheetData>
    <row r="1" spans="1:8" x14ac:dyDescent="0.2">
      <c r="A1" s="147" t="s">
        <v>222</v>
      </c>
      <c r="B1" s="147"/>
      <c r="C1" s="147"/>
      <c r="D1" s="147"/>
      <c r="E1" s="147"/>
      <c r="F1" s="147"/>
      <c r="G1" s="147"/>
      <c r="H1" s="147"/>
    </row>
    <row r="2" spans="1:8" x14ac:dyDescent="0.2">
      <c r="A2" s="85"/>
      <c r="B2" s="85"/>
      <c r="C2" s="85"/>
      <c r="D2" s="85"/>
      <c r="E2" s="85"/>
      <c r="F2" s="85"/>
      <c r="G2" s="85"/>
      <c r="H2" s="85"/>
    </row>
    <row r="3" spans="1:8" x14ac:dyDescent="0.2">
      <c r="A3" s="78"/>
      <c r="B3" s="77"/>
      <c r="C3" s="77"/>
      <c r="D3" s="77"/>
      <c r="E3" s="77"/>
      <c r="F3" s="77"/>
      <c r="G3" s="143" t="s">
        <v>0</v>
      </c>
      <c r="H3" s="143"/>
    </row>
    <row r="4" spans="1:8" ht="12" customHeight="1" x14ac:dyDescent="0.2">
      <c r="A4" s="137" t="s">
        <v>57</v>
      </c>
      <c r="B4" s="144" t="s">
        <v>111</v>
      </c>
      <c r="C4" s="145"/>
      <c r="D4" s="145"/>
      <c r="E4" s="146"/>
      <c r="F4" s="136" t="s">
        <v>113</v>
      </c>
      <c r="G4" s="136"/>
      <c r="H4" s="136"/>
    </row>
    <row r="5" spans="1:8" ht="34.9" customHeight="1" x14ac:dyDescent="0.2">
      <c r="A5" s="137"/>
      <c r="B5" s="65" t="s">
        <v>223</v>
      </c>
      <c r="C5" s="65" t="s">
        <v>224</v>
      </c>
      <c r="D5" s="65" t="s">
        <v>112</v>
      </c>
      <c r="E5" s="65" t="s">
        <v>115</v>
      </c>
      <c r="F5" s="86" t="s">
        <v>221</v>
      </c>
      <c r="G5" s="86" t="s">
        <v>114</v>
      </c>
      <c r="H5" s="65" t="s">
        <v>115</v>
      </c>
    </row>
    <row r="6" spans="1:8" ht="18" customHeight="1" x14ac:dyDescent="0.2">
      <c r="A6" s="66" t="s">
        <v>58</v>
      </c>
      <c r="B6" s="67">
        <f>+Achiv_Life!M5</f>
        <v>119417.989393</v>
      </c>
      <c r="C6" s="67">
        <v>107781.24757000001</v>
      </c>
      <c r="D6" s="67">
        <f>+B6-C6</f>
        <v>11636.741822999989</v>
      </c>
      <c r="E6" s="87">
        <f>(B6-C6)/C6</f>
        <v>0.10796629363046061</v>
      </c>
      <c r="F6" s="67">
        <f>+Achiv_Life!B5</f>
        <v>5739.9549980000002</v>
      </c>
      <c r="G6" s="67">
        <v>5402.7525939999996</v>
      </c>
      <c r="H6" s="67">
        <f>+(F6-G6)/G6</f>
        <v>6.2413075211787239E-2</v>
      </c>
    </row>
    <row r="7" spans="1:8" ht="18" customHeight="1" x14ac:dyDescent="0.2">
      <c r="A7" s="66" t="s">
        <v>75</v>
      </c>
      <c r="B7" s="67">
        <f>+Achiv_Life!M6</f>
        <v>11.791655</v>
      </c>
      <c r="C7" s="67">
        <v>7.2803550000000001</v>
      </c>
      <c r="D7" s="67">
        <f t="shared" ref="D7:D38" si="0">+B7-C7</f>
        <v>4.5113000000000003</v>
      </c>
      <c r="E7" s="87">
        <f>(B7-C7)/C7</f>
        <v>0.61965384929718403</v>
      </c>
      <c r="F7" s="67">
        <f>+Achiv_Life!B6</f>
        <v>42.574356999999999</v>
      </c>
      <c r="G7" s="67">
        <v>40.436242999999997</v>
      </c>
      <c r="H7" s="67">
        <f t="shared" ref="H7:H39" si="1">+(F7-G7)/G7</f>
        <v>5.2876178432303952E-2</v>
      </c>
    </row>
    <row r="8" spans="1:8" ht="18" customHeight="1" x14ac:dyDescent="0.2">
      <c r="A8" s="66" t="s">
        <v>76</v>
      </c>
      <c r="B8" s="67">
        <f>+Achiv_Life!M7</f>
        <v>741.78061300000002</v>
      </c>
      <c r="C8" s="67">
        <v>767.52881000000002</v>
      </c>
      <c r="D8" s="67">
        <f t="shared" si="0"/>
        <v>-25.748197000000005</v>
      </c>
      <c r="E8" s="88">
        <f t="shared" ref="E8:E35" si="2">(B8-C8)/C8</f>
        <v>-3.3546880149033106E-2</v>
      </c>
      <c r="F8" s="67">
        <f>+Achiv_Life!B7</f>
        <v>52.598719000000003</v>
      </c>
      <c r="G8" s="67">
        <v>61.257587999999998</v>
      </c>
      <c r="H8" s="67">
        <f t="shared" si="1"/>
        <v>-0.14135177832989435</v>
      </c>
    </row>
    <row r="9" spans="1:8" ht="18" customHeight="1" x14ac:dyDescent="0.2">
      <c r="A9" s="66" t="s">
        <v>59</v>
      </c>
      <c r="B9" s="67">
        <f>+Achiv_Life!M8</f>
        <v>25.498923999999999</v>
      </c>
      <c r="C9" s="67">
        <v>5.3045960000000001</v>
      </c>
      <c r="D9" s="67">
        <f t="shared" si="0"/>
        <v>20.194327999999999</v>
      </c>
      <c r="E9" s="88">
        <f t="shared" si="2"/>
        <v>3.8069492945362851</v>
      </c>
      <c r="F9" s="67">
        <f>+Achiv_Life!B8</f>
        <v>113.32012400000001</v>
      </c>
      <c r="G9" s="67">
        <v>190.24780100000001</v>
      </c>
      <c r="H9" s="67">
        <f t="shared" si="1"/>
        <v>-0.40435514416274382</v>
      </c>
    </row>
    <row r="10" spans="1:8" ht="18" customHeight="1" x14ac:dyDescent="0.2">
      <c r="A10" s="66" t="s">
        <v>77</v>
      </c>
      <c r="B10" s="67">
        <f>+Achiv_Life!M9</f>
        <v>42.435355999999999</v>
      </c>
      <c r="C10" s="67">
        <v>12.062265</v>
      </c>
      <c r="D10" s="67">
        <f t="shared" si="0"/>
        <v>30.373090999999999</v>
      </c>
      <c r="E10" s="88">
        <f t="shared" si="2"/>
        <v>2.518025511792354</v>
      </c>
      <c r="F10" s="67">
        <f>+Achiv_Life!B9</f>
        <v>41.155617999999997</v>
      </c>
      <c r="G10" s="67">
        <v>44.298161</v>
      </c>
      <c r="H10" s="67">
        <f t="shared" si="1"/>
        <v>-7.0940710157245651E-2</v>
      </c>
    </row>
    <row r="11" spans="1:8" ht="18" customHeight="1" x14ac:dyDescent="0.2">
      <c r="A11" s="66" t="s">
        <v>78</v>
      </c>
      <c r="B11" s="67">
        <f>+Achiv_Life!M10</f>
        <v>38296.734105000003</v>
      </c>
      <c r="C11" s="67">
        <v>36742.205130000002</v>
      </c>
      <c r="D11" s="67">
        <f t="shared" si="0"/>
        <v>1554.5289750000011</v>
      </c>
      <c r="E11" s="88">
        <f t="shared" si="2"/>
        <v>4.2309082144085262E-2</v>
      </c>
      <c r="F11" s="67">
        <f>+Achiv_Life!B10</f>
        <v>1395.075198</v>
      </c>
      <c r="G11" s="67">
        <v>1316.7182330000001</v>
      </c>
      <c r="H11" s="67">
        <f t="shared" si="1"/>
        <v>5.9509288347494117E-2</v>
      </c>
    </row>
    <row r="12" spans="1:8" ht="18" customHeight="1" x14ac:dyDescent="0.2">
      <c r="A12" s="66" t="s">
        <v>230</v>
      </c>
      <c r="B12" s="67">
        <f>+Achiv_Life!M11</f>
        <v>-41.775613</v>
      </c>
      <c r="C12" s="67">
        <v>-33.808317000000002</v>
      </c>
      <c r="D12" s="67">
        <f t="shared" si="0"/>
        <v>-7.9672959999999975</v>
      </c>
      <c r="E12" s="88">
        <f t="shared" si="2"/>
        <v>0.23566082866532506</v>
      </c>
      <c r="F12" s="67">
        <f>+Achiv_Life!B11</f>
        <v>79.104068999999996</v>
      </c>
      <c r="G12" s="67">
        <v>112.454179</v>
      </c>
      <c r="H12" s="67">
        <f t="shared" si="1"/>
        <v>-0.29656621298173369</v>
      </c>
    </row>
    <row r="13" spans="1:8" ht="18" customHeight="1" x14ac:dyDescent="0.2">
      <c r="A13" s="66" t="s">
        <v>60</v>
      </c>
      <c r="B13" s="67">
        <f>+Achiv_Life!M12</f>
        <v>33388.110959999998</v>
      </c>
      <c r="C13" s="67">
        <v>33447.462417000002</v>
      </c>
      <c r="D13" s="67">
        <f t="shared" si="0"/>
        <v>-59.351457000004302</v>
      </c>
      <c r="E13" s="88">
        <f t="shared" si="2"/>
        <v>-1.7744681572566276E-3</v>
      </c>
      <c r="F13" s="67">
        <f>+Achiv_Life!B12</f>
        <v>3068.6410980000001</v>
      </c>
      <c r="G13" s="67">
        <v>3761.2294240000001</v>
      </c>
      <c r="H13" s="67">
        <f t="shared" si="1"/>
        <v>-0.18413881418151962</v>
      </c>
    </row>
    <row r="14" spans="1:8" ht="18" customHeight="1" x14ac:dyDescent="0.2">
      <c r="A14" s="66" t="s">
        <v>61</v>
      </c>
      <c r="B14" s="67">
        <f>+Achiv_Life!M13</f>
        <v>700.42116499999997</v>
      </c>
      <c r="C14" s="67">
        <v>913.72823300000005</v>
      </c>
      <c r="D14" s="67">
        <f t="shared" si="0"/>
        <v>-213.30706800000007</v>
      </c>
      <c r="E14" s="88">
        <f t="shared" si="2"/>
        <v>-0.23344694877125469</v>
      </c>
      <c r="F14" s="67">
        <f>+Achiv_Life!B13</f>
        <v>76.659341999999995</v>
      </c>
      <c r="G14" s="67">
        <v>89.429329999999993</v>
      </c>
      <c r="H14" s="67">
        <f t="shared" si="1"/>
        <v>-0.14279418172986422</v>
      </c>
    </row>
    <row r="15" spans="1:8" ht="18" customHeight="1" x14ac:dyDescent="0.2">
      <c r="A15" s="66" t="s">
        <v>62</v>
      </c>
      <c r="B15" s="67">
        <f>+Achiv_Life!M14</f>
        <v>1662.830402</v>
      </c>
      <c r="C15" s="67">
        <v>1038.65741</v>
      </c>
      <c r="D15" s="67">
        <f t="shared" si="0"/>
        <v>624.17299200000002</v>
      </c>
      <c r="E15" s="88">
        <f t="shared" si="2"/>
        <v>0.60094212585456841</v>
      </c>
      <c r="F15" s="67">
        <f>+Achiv_Life!B14</f>
        <v>47.508035999999997</v>
      </c>
      <c r="G15" s="67">
        <v>59.141015000000003</v>
      </c>
      <c r="H15" s="67">
        <f t="shared" si="1"/>
        <v>-0.19669900829399031</v>
      </c>
    </row>
    <row r="16" spans="1:8" ht="18" customHeight="1" x14ac:dyDescent="0.2">
      <c r="A16" s="66" t="s">
        <v>72</v>
      </c>
      <c r="B16" s="67">
        <f>+Achiv_Life!M15</f>
        <v>2831.7778600000001</v>
      </c>
      <c r="C16" s="67">
        <v>2826.3009189999998</v>
      </c>
      <c r="D16" s="67">
        <f t="shared" si="0"/>
        <v>5.4769410000003518</v>
      </c>
      <c r="E16" s="88">
        <f t="shared" si="2"/>
        <v>1.9378477936235466E-3</v>
      </c>
      <c r="F16" s="67">
        <f>+Achiv_Life!B15</f>
        <v>433.62895200000003</v>
      </c>
      <c r="G16" s="67">
        <v>421.673924</v>
      </c>
      <c r="H16" s="67">
        <f t="shared" si="1"/>
        <v>2.8351357102176483E-2</v>
      </c>
    </row>
    <row r="17" spans="1:8" ht="18" customHeight="1" x14ac:dyDescent="0.2">
      <c r="A17" s="66" t="s">
        <v>63</v>
      </c>
      <c r="B17" s="67">
        <f>+Achiv_Life!M16</f>
        <v>-38.368031000000002</v>
      </c>
      <c r="C17" s="67">
        <v>-48.109465999999998</v>
      </c>
      <c r="D17" s="67">
        <f t="shared" si="0"/>
        <v>9.7414349999999956</v>
      </c>
      <c r="E17" s="88">
        <f>(B17-C17)/C17</f>
        <v>-0.20248478750522811</v>
      </c>
      <c r="F17" s="67">
        <f>+Achiv_Life!B16</f>
        <v>42.965387</v>
      </c>
      <c r="G17" s="67">
        <v>72.255000999999993</v>
      </c>
      <c r="H17" s="67">
        <f t="shared" si="1"/>
        <v>-0.40536452279614521</v>
      </c>
    </row>
    <row r="18" spans="1:8" ht="18" customHeight="1" x14ac:dyDescent="0.2">
      <c r="A18" s="66" t="s">
        <v>64</v>
      </c>
      <c r="B18" s="67">
        <f>+Achiv_Life!M17</f>
        <v>1.947862</v>
      </c>
      <c r="C18" s="67">
        <v>-13.649827999999999</v>
      </c>
      <c r="D18" s="67">
        <f t="shared" si="0"/>
        <v>15.59769</v>
      </c>
      <c r="E18" s="88">
        <f t="shared" si="2"/>
        <v>-1.142702310974175</v>
      </c>
      <c r="F18" s="67">
        <f>+Achiv_Life!B17</f>
        <v>57.761462000000002</v>
      </c>
      <c r="G18" s="67">
        <v>68.286559999999994</v>
      </c>
      <c r="H18" s="67">
        <f t="shared" si="1"/>
        <v>-0.15413132540283173</v>
      </c>
    </row>
    <row r="19" spans="1:8" ht="18" customHeight="1" x14ac:dyDescent="0.2">
      <c r="A19" s="66" t="s">
        <v>65</v>
      </c>
      <c r="B19" s="67">
        <f>+Achiv_Life!M18</f>
        <v>16867.329039</v>
      </c>
      <c r="C19" s="67">
        <v>15634.617054</v>
      </c>
      <c r="D19" s="67">
        <f t="shared" si="0"/>
        <v>1232.7119849999999</v>
      </c>
      <c r="E19" s="88">
        <f t="shared" si="2"/>
        <v>7.8845038592398387E-2</v>
      </c>
      <c r="F19" s="67">
        <f>+Achiv_Life!B18</f>
        <v>1026.501565</v>
      </c>
      <c r="G19" s="67">
        <v>1017.614592</v>
      </c>
      <c r="H19" s="67">
        <f t="shared" si="1"/>
        <v>8.7331422621738618E-3</v>
      </c>
    </row>
    <row r="20" spans="1:8" ht="18" customHeight="1" x14ac:dyDescent="0.2">
      <c r="A20" s="66" t="s">
        <v>79</v>
      </c>
      <c r="B20" s="67">
        <f>+Achiv_Life!M19</f>
        <v>37.225222000000002</v>
      </c>
      <c r="C20" s="67">
        <v>2.803277</v>
      </c>
      <c r="D20" s="67">
        <f t="shared" si="0"/>
        <v>34.421945000000001</v>
      </c>
      <c r="E20" s="88">
        <f>(B20-C20)/C20</f>
        <v>12.279180758804785</v>
      </c>
      <c r="F20" s="67">
        <f>+Achiv_Life!B19</f>
        <v>73.941535000000002</v>
      </c>
      <c r="G20" s="67">
        <v>73.250898000000007</v>
      </c>
      <c r="H20" s="67">
        <f t="shared" si="1"/>
        <v>9.4283758814805961E-3</v>
      </c>
    </row>
    <row r="21" spans="1:8" ht="18" customHeight="1" x14ac:dyDescent="0.2">
      <c r="A21" s="66" t="s">
        <v>66</v>
      </c>
      <c r="B21" s="67">
        <f>+Achiv_Life!M20</f>
        <v>34615.557543000003</v>
      </c>
      <c r="C21" s="67">
        <v>32907.692596000001</v>
      </c>
      <c r="D21" s="67">
        <f t="shared" si="0"/>
        <v>1707.8649470000018</v>
      </c>
      <c r="E21" s="88">
        <f t="shared" si="2"/>
        <v>5.1898653848723393E-2</v>
      </c>
      <c r="F21" s="67">
        <f>+Achiv_Life!B20</f>
        <v>2505.3108120000002</v>
      </c>
      <c r="G21" s="67">
        <v>2174.6731450000002</v>
      </c>
      <c r="H21" s="67">
        <f t="shared" si="1"/>
        <v>0.15204016647752366</v>
      </c>
    </row>
    <row r="22" spans="1:8" ht="18" customHeight="1" x14ac:dyDescent="0.2">
      <c r="A22" s="66" t="s">
        <v>67</v>
      </c>
      <c r="B22" s="67">
        <f>+Achiv_Life!M21</f>
        <v>-21.904446</v>
      </c>
      <c r="C22" s="67">
        <v>-36.431784999999998</v>
      </c>
      <c r="D22" s="67">
        <f t="shared" si="0"/>
        <v>14.527338999999998</v>
      </c>
      <c r="E22" s="88">
        <f t="shared" si="2"/>
        <v>-0.39875452163543451</v>
      </c>
      <c r="F22" s="67">
        <f>+Achiv_Life!B21</f>
        <v>47.005657999999997</v>
      </c>
      <c r="G22" s="67">
        <v>30.587924000000001</v>
      </c>
      <c r="H22" s="67">
        <f t="shared" si="1"/>
        <v>0.53673907389072872</v>
      </c>
    </row>
    <row r="23" spans="1:8" ht="18" customHeight="1" x14ac:dyDescent="0.2">
      <c r="A23" s="66" t="s">
        <v>73</v>
      </c>
      <c r="B23" s="67">
        <f>+Achiv_Life!M22</f>
        <v>1.156738</v>
      </c>
      <c r="C23" s="67">
        <v>-57.031232000000003</v>
      </c>
      <c r="D23" s="67">
        <f t="shared" si="0"/>
        <v>58.18797</v>
      </c>
      <c r="E23" s="88">
        <f t="shared" si="2"/>
        <v>-1.0202825357165701</v>
      </c>
      <c r="F23" s="67">
        <f>+Achiv_Life!B22</f>
        <v>58.200710000000001</v>
      </c>
      <c r="G23" s="67">
        <v>35.827167000000003</v>
      </c>
      <c r="H23" s="67">
        <f t="shared" si="1"/>
        <v>0.62448540795871454</v>
      </c>
    </row>
    <row r="24" spans="1:8" ht="18" customHeight="1" x14ac:dyDescent="0.2">
      <c r="A24" s="66" t="s">
        <v>213</v>
      </c>
      <c r="B24" s="67">
        <f>+Achiv_Life!M23</f>
        <v>2756.0111750000001</v>
      </c>
      <c r="C24" s="67">
        <f>2707174754/1000000</f>
        <v>2707.1747540000001</v>
      </c>
      <c r="D24" s="67">
        <f t="shared" si="0"/>
        <v>48.836420999999973</v>
      </c>
      <c r="E24" s="88">
        <f t="shared" si="2"/>
        <v>1.8039626340280199E-2</v>
      </c>
      <c r="F24" s="67">
        <f>+Achiv_Life!B23</f>
        <v>127.668536</v>
      </c>
      <c r="G24" s="67">
        <f>187840133/1000000</f>
        <v>187.84013300000001</v>
      </c>
      <c r="H24" s="67">
        <f t="shared" si="1"/>
        <v>-0.32033408430348592</v>
      </c>
    </row>
    <row r="25" spans="1:8" ht="18" customHeight="1" x14ac:dyDescent="0.2">
      <c r="A25" s="66" t="s">
        <v>68</v>
      </c>
      <c r="B25" s="67">
        <f>+Achiv_Life!M24</f>
        <v>8809.8879410000009</v>
      </c>
      <c r="C25" s="67">
        <v>8466.5939920000001</v>
      </c>
      <c r="D25" s="67">
        <f t="shared" si="0"/>
        <v>343.29394900000079</v>
      </c>
      <c r="E25" s="88">
        <f>(B25-C25)/C25</f>
        <v>4.0546877448520126E-2</v>
      </c>
      <c r="F25" s="67">
        <f>+Achiv_Life!B24</f>
        <v>1137.3648049999999</v>
      </c>
      <c r="G25" s="67">
        <v>1150.0259169999999</v>
      </c>
      <c r="H25" s="67">
        <f t="shared" si="1"/>
        <v>-1.1009414494786558E-2</v>
      </c>
    </row>
    <row r="26" spans="1:8" ht="18" customHeight="1" x14ac:dyDescent="0.2">
      <c r="A26" s="66" t="s">
        <v>80</v>
      </c>
      <c r="B26" s="67">
        <f>+Achiv_Life!M25</f>
        <v>17871.494505999999</v>
      </c>
      <c r="C26" s="67">
        <v>22866.74379</v>
      </c>
      <c r="D26" s="67">
        <f t="shared" si="0"/>
        <v>-4995.2492840000014</v>
      </c>
      <c r="E26" s="88">
        <f t="shared" si="2"/>
        <v>-0.21845039809229441</v>
      </c>
      <c r="F26" s="67">
        <f>+Achiv_Life!B25</f>
        <v>5590.6316729999999</v>
      </c>
      <c r="G26" s="67">
        <v>2754.8998919999999</v>
      </c>
      <c r="H26" s="67">
        <f t="shared" si="1"/>
        <v>1.0293411347667221</v>
      </c>
    </row>
    <row r="27" spans="1:8" ht="18" customHeight="1" x14ac:dyDescent="0.2">
      <c r="A27" s="66" t="s">
        <v>81</v>
      </c>
      <c r="B27" s="67">
        <f>+Achiv_Life!M26</f>
        <v>453.96730100000002</v>
      </c>
      <c r="C27" s="67">
        <v>1288.257466</v>
      </c>
      <c r="D27" s="67">
        <f t="shared" si="0"/>
        <v>-834.290165</v>
      </c>
      <c r="E27" s="88">
        <f t="shared" si="2"/>
        <v>-0.64761135643983136</v>
      </c>
      <c r="F27" s="67">
        <f>+Achiv_Life!B26</f>
        <v>82.751768999999996</v>
      </c>
      <c r="G27" s="67">
        <v>421.32776799999999</v>
      </c>
      <c r="H27" s="67">
        <f t="shared" si="1"/>
        <v>-0.80359289065419504</v>
      </c>
    </row>
    <row r="28" spans="1:8" ht="18" customHeight="1" x14ac:dyDescent="0.2">
      <c r="A28" s="66" t="s">
        <v>82</v>
      </c>
      <c r="B28" s="67">
        <f>+Achiv_Life!M27</f>
        <v>5549.4061799999999</v>
      </c>
      <c r="C28" s="67">
        <v>5216.4510769999997</v>
      </c>
      <c r="D28" s="67">
        <f t="shared" si="0"/>
        <v>332.95510300000024</v>
      </c>
      <c r="E28" s="88">
        <f t="shared" si="2"/>
        <v>6.3827897182443041E-2</v>
      </c>
      <c r="F28" s="67">
        <f>+Achiv_Life!B27</f>
        <v>676.18043599999999</v>
      </c>
      <c r="G28" s="67">
        <v>649.89830700000005</v>
      </c>
      <c r="H28" s="67">
        <f t="shared" si="1"/>
        <v>4.044037154262034E-2</v>
      </c>
    </row>
    <row r="29" spans="1:8" ht="18" customHeight="1" x14ac:dyDescent="0.2">
      <c r="A29" s="66" t="s">
        <v>74</v>
      </c>
      <c r="B29" s="67">
        <f>+Achiv_Life!M28</f>
        <v>4503.9936509999998</v>
      </c>
      <c r="C29" s="67">
        <v>4267.5230410000004</v>
      </c>
      <c r="D29" s="67">
        <f t="shared" si="0"/>
        <v>236.4706099999994</v>
      </c>
      <c r="E29" s="88">
        <f t="shared" si="2"/>
        <v>5.541167738946471E-2</v>
      </c>
      <c r="F29" s="67">
        <f>+Achiv_Life!B28</f>
        <v>850.65679799999998</v>
      </c>
      <c r="G29" s="67">
        <v>846.47004600000002</v>
      </c>
      <c r="H29" s="67">
        <f t="shared" si="1"/>
        <v>4.9461313129560589E-3</v>
      </c>
    </row>
    <row r="30" spans="1:8" ht="18" customHeight="1" x14ac:dyDescent="0.2">
      <c r="A30" s="66" t="s">
        <v>69</v>
      </c>
      <c r="B30" s="67">
        <f>+Achiv_Life!M29</f>
        <v>8372.6917880000001</v>
      </c>
      <c r="C30" s="67">
        <v>8517.615065</v>
      </c>
      <c r="D30" s="67">
        <f t="shared" si="0"/>
        <v>-144.92327699999987</v>
      </c>
      <c r="E30" s="88">
        <f t="shared" si="2"/>
        <v>-1.7014537038132736E-2</v>
      </c>
      <c r="F30" s="67">
        <f>+Achiv_Life!B29</f>
        <v>441.34641599999998</v>
      </c>
      <c r="G30" s="67">
        <v>604.65226900000005</v>
      </c>
      <c r="H30" s="67">
        <f t="shared" si="1"/>
        <v>-0.27008226276911573</v>
      </c>
    </row>
    <row r="31" spans="1:8" ht="18" customHeight="1" x14ac:dyDescent="0.2">
      <c r="A31" s="66" t="s">
        <v>70</v>
      </c>
      <c r="B31" s="67">
        <f>+Achiv_Life!M30</f>
        <v>1641.905563</v>
      </c>
      <c r="C31" s="67">
        <v>1729.0835380000001</v>
      </c>
      <c r="D31" s="67">
        <f t="shared" si="0"/>
        <v>-87.17797500000006</v>
      </c>
      <c r="E31" s="88">
        <f t="shared" si="2"/>
        <v>-5.0418602157786582E-2</v>
      </c>
      <c r="F31" s="67">
        <f>+Achiv_Life!B30</f>
        <v>425.55945500000001</v>
      </c>
      <c r="G31" s="67">
        <v>536.83539299999995</v>
      </c>
      <c r="H31" s="67">
        <f t="shared" si="1"/>
        <v>-0.20728129972607814</v>
      </c>
    </row>
    <row r="32" spans="1:8" ht="18" customHeight="1" x14ac:dyDescent="0.2">
      <c r="A32" s="66" t="s">
        <v>83</v>
      </c>
      <c r="B32" s="67">
        <f>+Achiv_Life!M31</f>
        <v>2408.602367</v>
      </c>
      <c r="C32" s="67">
        <v>3035.9586920000002</v>
      </c>
      <c r="D32" s="67">
        <f t="shared" si="0"/>
        <v>-627.3563250000002</v>
      </c>
      <c r="E32" s="88">
        <f t="shared" si="2"/>
        <v>-0.20664191731367607</v>
      </c>
      <c r="F32" s="67">
        <f>+Achiv_Life!B31</f>
        <v>226.67742200000001</v>
      </c>
      <c r="G32" s="67">
        <v>406.73675600000001</v>
      </c>
      <c r="H32" s="67">
        <f t="shared" si="1"/>
        <v>-0.44269255567352755</v>
      </c>
    </row>
    <row r="33" spans="1:8" ht="18" customHeight="1" x14ac:dyDescent="0.2">
      <c r="A33" s="66" t="s">
        <v>84</v>
      </c>
      <c r="B33" s="67">
        <f>+Achiv_Life!M32</f>
        <v>601.48763599999995</v>
      </c>
      <c r="C33" s="67">
        <v>253.07393400000001</v>
      </c>
      <c r="D33" s="67">
        <f t="shared" si="0"/>
        <v>348.41370199999994</v>
      </c>
      <c r="E33" s="88">
        <f t="shared" si="2"/>
        <v>1.3767269370380908</v>
      </c>
      <c r="F33" s="67">
        <f>+Achiv_Life!B32</f>
        <v>516.60200099999997</v>
      </c>
      <c r="G33" s="67">
        <v>308.33502900000002</v>
      </c>
      <c r="H33" s="67">
        <f t="shared" si="1"/>
        <v>0.67545673508279835</v>
      </c>
    </row>
    <row r="34" spans="1:8" ht="18" customHeight="1" x14ac:dyDescent="0.2">
      <c r="A34" s="66" t="s">
        <v>71</v>
      </c>
      <c r="B34" s="67">
        <f>+Achiv_Life!M33</f>
        <v>-27.079495000000001</v>
      </c>
      <c r="C34" s="67">
        <v>-28.16675</v>
      </c>
      <c r="D34" s="67">
        <f t="shared" si="0"/>
        <v>1.087254999999999</v>
      </c>
      <c r="E34" s="88">
        <f t="shared" si="2"/>
        <v>-3.8600655027647812E-2</v>
      </c>
      <c r="F34" s="67">
        <f>+Achiv_Life!B33</f>
        <v>14.446459000000001</v>
      </c>
      <c r="G34" s="67">
        <v>24.506803000000001</v>
      </c>
      <c r="H34" s="67">
        <f t="shared" si="1"/>
        <v>-0.41051229734045686</v>
      </c>
    </row>
    <row r="35" spans="1:8" ht="18" customHeight="1" x14ac:dyDescent="0.2">
      <c r="A35" s="66" t="s">
        <v>85</v>
      </c>
      <c r="B35" s="67">
        <f>+Achiv_Life!M34</f>
        <v>3.705082</v>
      </c>
      <c r="C35" s="67">
        <v>-4.3185370000000001</v>
      </c>
      <c r="D35" s="67">
        <f t="shared" si="0"/>
        <v>8.0236190000000001</v>
      </c>
      <c r="E35" s="88">
        <f t="shared" si="2"/>
        <v>-1.8579484209583013</v>
      </c>
      <c r="F35" s="67">
        <f>+Achiv_Life!B34</f>
        <v>155.781465</v>
      </c>
      <c r="G35" s="67">
        <v>129.18870999999999</v>
      </c>
      <c r="H35" s="67">
        <f t="shared" si="1"/>
        <v>0.20584426456460486</v>
      </c>
    </row>
    <row r="36" spans="1:8" ht="18" customHeight="1" x14ac:dyDescent="0.2">
      <c r="A36" s="66" t="s">
        <v>86</v>
      </c>
      <c r="B36" s="67">
        <f>+Achiv_Life!M35</f>
        <v>-53.051945000000003</v>
      </c>
      <c r="C36" s="67">
        <v>-57.494937999999998</v>
      </c>
      <c r="D36" s="67">
        <f t="shared" si="0"/>
        <v>4.4429929999999942</v>
      </c>
      <c r="E36" s="88">
        <f>(B36-C36)/C36</f>
        <v>-7.7276246475820085E-2</v>
      </c>
      <c r="F36" s="67">
        <f>+Achiv_Life!B35</f>
        <v>228.12251900000001</v>
      </c>
      <c r="G36" s="67">
        <v>185.89438699999999</v>
      </c>
      <c r="H36" s="67">
        <f t="shared" si="1"/>
        <v>0.22716195298570266</v>
      </c>
    </row>
    <row r="37" spans="1:8" ht="18" customHeight="1" x14ac:dyDescent="0.2">
      <c r="A37" s="63" t="s">
        <v>87</v>
      </c>
      <c r="B37" s="84">
        <f>SUM(B6:B36)</f>
        <v>301433.560497</v>
      </c>
      <c r="C37" s="84">
        <f>SUM(C6:C36)</f>
        <v>290156.35512800014</v>
      </c>
      <c r="D37" s="84">
        <f>SUM(D6:D36)</f>
        <v>11277.205368999985</v>
      </c>
      <c r="E37" s="89">
        <f>(B37-C37)/C37</f>
        <v>3.8865960264854477E-2</v>
      </c>
      <c r="F37" s="84">
        <f>SUM(F6:F36)</f>
        <v>25375.697393999992</v>
      </c>
      <c r="G37" s="84">
        <f>SUM(G6:G36)</f>
        <v>23178.745188999997</v>
      </c>
      <c r="H37" s="84">
        <f t="shared" si="1"/>
        <v>9.4783051760826464E-2</v>
      </c>
    </row>
    <row r="38" spans="1:8" ht="18" customHeight="1" x14ac:dyDescent="0.2">
      <c r="A38" s="66" t="s">
        <v>88</v>
      </c>
      <c r="B38" s="67">
        <f>+Achiv_Life!M37</f>
        <v>19251.712994000001</v>
      </c>
      <c r="C38" s="67">
        <v>18522.854067</v>
      </c>
      <c r="D38" s="67">
        <f t="shared" si="0"/>
        <v>728.85892700000113</v>
      </c>
      <c r="E38" s="88">
        <f>(B38-C38)/C38</f>
        <v>3.9349169645434057E-2</v>
      </c>
      <c r="F38" s="67">
        <f>+Achiv_Life!B37</f>
        <v>1082.752463</v>
      </c>
      <c r="G38" s="67">
        <v>955.61460999999997</v>
      </c>
      <c r="H38" s="67">
        <f t="shared" si="1"/>
        <v>0.13304301929833415</v>
      </c>
    </row>
    <row r="39" spans="1:8" ht="18" customHeight="1" x14ac:dyDescent="0.2">
      <c r="A39" s="63" t="s">
        <v>89</v>
      </c>
      <c r="B39" s="84">
        <f>+B37+B38</f>
        <v>320685.273491</v>
      </c>
      <c r="C39" s="84">
        <f>+C37+C38</f>
        <v>308679.20919500012</v>
      </c>
      <c r="D39" s="84">
        <f>+D37+D38</f>
        <v>12006.064295999986</v>
      </c>
      <c r="E39" s="89">
        <f>(B39-C39)/C39</f>
        <v>3.8894956117421435E-2</v>
      </c>
      <c r="F39" s="84">
        <f>+F37+F38</f>
        <v>26458.449856999992</v>
      </c>
      <c r="G39" s="84">
        <f>+G37+G38</f>
        <v>24134.359798999998</v>
      </c>
      <c r="H39" s="84">
        <f t="shared" si="1"/>
        <v>9.6297978374230278E-2</v>
      </c>
    </row>
  </sheetData>
  <mergeCells count="5">
    <mergeCell ref="F4:H4"/>
    <mergeCell ref="G3:H3"/>
    <mergeCell ref="A4:A5"/>
    <mergeCell ref="B4:E4"/>
    <mergeCell ref="A1:H1"/>
  </mergeCells>
  <pageMargins left="0.7" right="0.3" top="0.5" bottom="0.3" header="0.3" footer="0.3"/>
  <pageSetup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M39" sqref="M39"/>
    </sheetView>
  </sheetViews>
  <sheetFormatPr defaultRowHeight="12.75" x14ac:dyDescent="0.2"/>
  <cols>
    <col min="1" max="1" width="21" style="4" customWidth="1"/>
    <col min="2" max="2" width="9.42578125" style="7" customWidth="1"/>
    <col min="3" max="3" width="9.5703125" style="4" customWidth="1"/>
    <col min="4" max="4" width="10" style="4" customWidth="1"/>
    <col min="5" max="5" width="9" style="4" bestFit="1" customWidth="1"/>
    <col min="6" max="7" width="9.7109375" style="4" customWidth="1"/>
    <col min="8" max="8" width="10.42578125" style="4" customWidth="1"/>
    <col min="9" max="9" width="9.7109375" style="4" customWidth="1"/>
    <col min="10" max="10" width="8.7109375" style="4" customWidth="1"/>
    <col min="11" max="12" width="9.7109375" style="4" customWidth="1"/>
    <col min="13" max="13" width="9.42578125" style="4" customWidth="1"/>
    <col min="14" max="14" width="10.28515625" style="4" customWidth="1"/>
    <col min="15" max="15" width="12.140625" style="4" bestFit="1" customWidth="1"/>
    <col min="16" max="16384" width="9.140625" style="4"/>
  </cols>
  <sheetData>
    <row r="1" spans="1:15" x14ac:dyDescent="0.2">
      <c r="A1" s="141" t="s">
        <v>227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5" ht="10.15" customHeight="1" x14ac:dyDescent="0.2">
      <c r="A2" s="78"/>
      <c r="B2" s="90"/>
      <c r="C2" s="77"/>
      <c r="D2" s="77"/>
      <c r="E2" s="77"/>
      <c r="F2" s="77"/>
      <c r="G2" s="77"/>
      <c r="H2" s="77"/>
      <c r="I2" s="77"/>
      <c r="J2" s="77"/>
      <c r="K2" s="77"/>
      <c r="L2" s="77"/>
      <c r="M2" s="143" t="s">
        <v>0</v>
      </c>
      <c r="N2" s="143"/>
    </row>
    <row r="3" spans="1:15" ht="13.15" customHeight="1" x14ac:dyDescent="0.2">
      <c r="A3" s="137" t="s">
        <v>57</v>
      </c>
      <c r="B3" s="136" t="s">
        <v>21</v>
      </c>
      <c r="C3" s="136"/>
      <c r="D3" s="136"/>
      <c r="E3" s="136"/>
      <c r="F3" s="136"/>
      <c r="G3" s="136"/>
      <c r="H3" s="136"/>
      <c r="I3" s="136" t="s">
        <v>92</v>
      </c>
      <c r="J3" s="136"/>
      <c r="K3" s="136"/>
      <c r="L3" s="136"/>
      <c r="M3" s="136"/>
      <c r="N3" s="136"/>
    </row>
    <row r="4" spans="1:15" ht="40.15" customHeight="1" x14ac:dyDescent="0.2">
      <c r="A4" s="137"/>
      <c r="B4" s="91" t="s">
        <v>23</v>
      </c>
      <c r="C4" s="65" t="s">
        <v>24</v>
      </c>
      <c r="D4" s="65" t="s">
        <v>90</v>
      </c>
      <c r="E4" s="65" t="s">
        <v>26</v>
      </c>
      <c r="F4" s="65" t="s">
        <v>27</v>
      </c>
      <c r="G4" s="65" t="s">
        <v>42</v>
      </c>
      <c r="H4" s="65" t="s">
        <v>91</v>
      </c>
      <c r="I4" s="65" t="s">
        <v>30</v>
      </c>
      <c r="J4" s="65" t="s">
        <v>161</v>
      </c>
      <c r="K4" s="65" t="s">
        <v>32</v>
      </c>
      <c r="L4" s="65" t="s">
        <v>93</v>
      </c>
      <c r="M4" s="65" t="s">
        <v>204</v>
      </c>
      <c r="N4" s="65" t="s">
        <v>94</v>
      </c>
    </row>
    <row r="5" spans="1:15" ht="10.9" customHeight="1" x14ac:dyDescent="0.2">
      <c r="A5" s="92" t="s">
        <v>116</v>
      </c>
      <c r="B5" s="93">
        <f>87139887/1000000</f>
        <v>87.139887000000002</v>
      </c>
      <c r="C5" s="67">
        <f>200250000/1000000</f>
        <v>200.25</v>
      </c>
      <c r="D5" s="67">
        <f>+(2040512+69537448)/1000000</f>
        <v>71.577960000000004</v>
      </c>
      <c r="E5" s="67">
        <f>179350787/1000000</f>
        <v>179.350787</v>
      </c>
      <c r="F5" s="67">
        <f>+(586420+1284853+4724389+95661302)/1000000</f>
        <v>102.256964</v>
      </c>
      <c r="G5" s="67">
        <f>+(131273507+34285476)/1000000</f>
        <v>165.55898300000001</v>
      </c>
      <c r="H5" s="67">
        <f>+SUM(B5:G5)</f>
        <v>806.13458100000003</v>
      </c>
      <c r="I5" s="67">
        <f>288044630/1000000</f>
        <v>288.04462999999998</v>
      </c>
      <c r="J5" s="67">
        <v>0</v>
      </c>
      <c r="K5" s="67">
        <f>234144136/1000000</f>
        <v>234.144136</v>
      </c>
      <c r="L5" s="67">
        <f>82408681/1000000</f>
        <v>82.408681000000001</v>
      </c>
      <c r="M5" s="67">
        <f>+(14638222+39931771+146967141)/1000000</f>
        <v>201.53713400000001</v>
      </c>
      <c r="N5" s="67">
        <f>+SUM(I5:M5)</f>
        <v>806.13458100000003</v>
      </c>
      <c r="O5" s="10"/>
    </row>
    <row r="6" spans="1:15" ht="10.9" customHeight="1" x14ac:dyDescent="0.2">
      <c r="A6" s="92" t="s">
        <v>117</v>
      </c>
      <c r="B6" s="93">
        <f>202904939/1000000</f>
        <v>202.90493900000001</v>
      </c>
      <c r="C6" s="67">
        <f>687065213/1000000</f>
        <v>687.06521299999997</v>
      </c>
      <c r="D6" s="67">
        <f>28506255/1000000</f>
        <v>28.506254999999999</v>
      </c>
      <c r="E6" s="67">
        <f>61561112/1000000</f>
        <v>61.561112000000001</v>
      </c>
      <c r="F6" s="67">
        <f>+(23164062+115315083+282078760+758714+761070)/1000000</f>
        <v>422.07768900000002</v>
      </c>
      <c r="G6" s="67">
        <f>214686473/1000000</f>
        <v>214.68647300000001</v>
      </c>
      <c r="H6" s="67">
        <f t="shared" ref="H6:H49" si="0">+SUM(B6:G6)</f>
        <v>1616.8016809999999</v>
      </c>
      <c r="I6" s="67">
        <f>470698580/1000000</f>
        <v>470.69857999999999</v>
      </c>
      <c r="J6" s="67">
        <f>116288920/1000000</f>
        <v>116.28892</v>
      </c>
      <c r="K6" s="67">
        <f>304876746/1000000</f>
        <v>304.87674600000003</v>
      </c>
      <c r="L6" s="67">
        <f>169256193/1000000</f>
        <v>169.256193</v>
      </c>
      <c r="M6" s="67">
        <f>+(752860+29989877+150609518+49922699+258201937+2646560+63557791)/1000000</f>
        <v>555.681242</v>
      </c>
      <c r="N6" s="67">
        <f t="shared" ref="N6:N49" si="1">+SUM(I6:M6)</f>
        <v>1616.8016809999999</v>
      </c>
      <c r="O6" s="10"/>
    </row>
    <row r="7" spans="1:15" ht="10.9" customHeight="1" x14ac:dyDescent="0.2">
      <c r="A7" s="94" t="s">
        <v>118</v>
      </c>
      <c r="B7" s="93">
        <f>291660533/1000000</f>
        <v>291.66053299999999</v>
      </c>
      <c r="C7" s="67">
        <f>468918983/1000000</f>
        <v>468.91898300000003</v>
      </c>
      <c r="D7" s="67">
        <f>144824696/1000000</f>
        <v>144.82469599999999</v>
      </c>
      <c r="E7" s="67">
        <v>0</v>
      </c>
      <c r="F7" s="67">
        <f>+(20997700+26296607+207633530+178458+476325)/1000000</f>
        <v>255.58261999999999</v>
      </c>
      <c r="G7" s="67">
        <f>210408420/1000000</f>
        <v>210.40842000000001</v>
      </c>
      <c r="H7" s="67">
        <f t="shared" si="0"/>
        <v>1371.395252</v>
      </c>
      <c r="I7" s="67">
        <f>423500000/1000000</f>
        <v>423.5</v>
      </c>
      <c r="J7" s="67">
        <f>102698750/1000000</f>
        <v>102.69875</v>
      </c>
      <c r="K7" s="67">
        <f>+(231000000+45599965)/1000000</f>
        <v>276.599965</v>
      </c>
      <c r="L7" s="67">
        <f>134220323/1000000</f>
        <v>134.22032300000001</v>
      </c>
      <c r="M7" s="67">
        <f>+(12675607+60509935+4912083+145772766+4272309+49728937+156504577)/1000000</f>
        <v>434.376214</v>
      </c>
      <c r="N7" s="67">
        <f t="shared" si="1"/>
        <v>1371.395252</v>
      </c>
      <c r="O7" s="10"/>
    </row>
    <row r="8" spans="1:15" ht="10.9" customHeight="1" x14ac:dyDescent="0.2">
      <c r="A8" s="92" t="s">
        <v>119</v>
      </c>
      <c r="B8" s="93">
        <f>246613087/1000000</f>
        <v>246.61308700000001</v>
      </c>
      <c r="C8" s="67">
        <f>484632757/1000000</f>
        <v>484.63275700000003</v>
      </c>
      <c r="D8" s="67">
        <f>+(27872379+409888939)/1000000</f>
        <v>437.76131800000002</v>
      </c>
      <c r="E8" s="67">
        <f>34547046/1000000</f>
        <v>34.547046000000002</v>
      </c>
      <c r="F8" s="67">
        <f>+(59366750+298994103+3942006)/1000000</f>
        <v>362.30285900000001</v>
      </c>
      <c r="G8" s="67">
        <f>99241411/1000000</f>
        <v>99.241410999999999</v>
      </c>
      <c r="H8" s="67">
        <f t="shared" si="0"/>
        <v>1665.0984779999999</v>
      </c>
      <c r="I8" s="67">
        <f>540272550/1000000</f>
        <v>540.27255000000002</v>
      </c>
      <c r="J8" s="67">
        <f>244825200/1000000</f>
        <v>244.8252</v>
      </c>
      <c r="K8" s="67">
        <f>217832113/1000000</f>
        <v>217.83211299999999</v>
      </c>
      <c r="L8" s="67">
        <f>135848256/1000000</f>
        <v>135.84825599999999</v>
      </c>
      <c r="M8" s="67">
        <f>+(12777898+3894000+452123666+57524795)/1000000</f>
        <v>526.32035900000005</v>
      </c>
      <c r="N8" s="67">
        <f t="shared" si="1"/>
        <v>1665.0984780000001</v>
      </c>
      <c r="O8" s="10"/>
    </row>
    <row r="9" spans="1:15" ht="10.9" customHeight="1" x14ac:dyDescent="0.2">
      <c r="A9" s="92" t="s">
        <v>120</v>
      </c>
      <c r="B9" s="93">
        <f>3511000/1000000</f>
        <v>3.5110000000000001</v>
      </c>
      <c r="C9" s="67">
        <f>18188558/1000000</f>
        <v>18.188558</v>
      </c>
      <c r="D9" s="67">
        <f>+(119566190-18188558)/1000000</f>
        <v>101.37763200000001</v>
      </c>
      <c r="E9" s="67">
        <f>17047492/1000000</f>
        <v>17.047491999999998</v>
      </c>
      <c r="F9" s="67">
        <f>+(628588+36533897+153000+1423000-6473351+82879331)/1000000</f>
        <v>115.144465</v>
      </c>
      <c r="G9" s="67">
        <f>4976714/1000000</f>
        <v>4.9767140000000003</v>
      </c>
      <c r="H9" s="67">
        <f t="shared" si="0"/>
        <v>260.24586099999999</v>
      </c>
      <c r="I9" s="67">
        <f>15717721/1000000</f>
        <v>15.717720999999999</v>
      </c>
      <c r="J9" s="67">
        <v>0</v>
      </c>
      <c r="K9" s="67">
        <f>+(360500+40819307)/1000000</f>
        <v>41.179806999999997</v>
      </c>
      <c r="L9" s="67">
        <f>29899248/1000000</f>
        <v>29.899248</v>
      </c>
      <c r="M9" s="67">
        <f>+(45668327+30597606+234547+2725672+37652468+1525551+6889+50691704+3928733+417588)/1000000</f>
        <v>173.449085</v>
      </c>
      <c r="N9" s="67">
        <f t="shared" si="1"/>
        <v>260.24586099999999</v>
      </c>
      <c r="O9" s="10"/>
    </row>
    <row r="10" spans="1:15" ht="10.9" customHeight="1" x14ac:dyDescent="0.2">
      <c r="A10" s="92" t="s">
        <v>121</v>
      </c>
      <c r="B10" s="93">
        <f>79090622/1000000</f>
        <v>79.090621999999996</v>
      </c>
      <c r="C10" s="67">
        <f>747312245/1000000</f>
        <v>747.31224499999996</v>
      </c>
      <c r="D10" s="67">
        <f>+(836428124-747312245)/1000000</f>
        <v>89.115879000000007</v>
      </c>
      <c r="E10" s="67">
        <f>127898143/1000000</f>
        <v>127.898143</v>
      </c>
      <c r="F10" s="67">
        <f>+(25817563+1200851+884520)/1000000</f>
        <v>27.902933999999998</v>
      </c>
      <c r="G10" s="67">
        <f>255059360/1000000</f>
        <v>255.05936</v>
      </c>
      <c r="H10" s="67">
        <f t="shared" si="0"/>
        <v>1326.379183</v>
      </c>
      <c r="I10" s="67">
        <f>442500000/1000000</f>
        <v>442.5</v>
      </c>
      <c r="J10" s="67">
        <v>0</v>
      </c>
      <c r="K10" s="67">
        <f>354915981/1000000</f>
        <v>354.91598099999999</v>
      </c>
      <c r="L10" s="67">
        <f>149916876/1000000</f>
        <v>149.916876</v>
      </c>
      <c r="M10" s="67">
        <f>+(12863818+366182508)/1000000</f>
        <v>379.04632600000002</v>
      </c>
      <c r="N10" s="67">
        <f t="shared" si="1"/>
        <v>1326.379183</v>
      </c>
      <c r="O10" s="10"/>
    </row>
    <row r="11" spans="1:15" ht="10.9" customHeight="1" x14ac:dyDescent="0.2">
      <c r="A11" s="92" t="s">
        <v>122</v>
      </c>
      <c r="B11" s="93">
        <f>224481833/1000000</f>
        <v>224.48183299999999</v>
      </c>
      <c r="C11" s="67">
        <f>526450010/1000000</f>
        <v>526.45001000000002</v>
      </c>
      <c r="D11" s="67">
        <f>+(26257135+1708010)/1000000</f>
        <v>27.965145</v>
      </c>
      <c r="E11" s="67">
        <f>304714484/1000000</f>
        <v>304.71448400000003</v>
      </c>
      <c r="F11" s="67">
        <f>+(17515498+169545046+461729+162175+435057)/1000000</f>
        <v>188.119505</v>
      </c>
      <c r="G11" s="67">
        <f>+(411585342+19179629)/1000000</f>
        <v>430.764971</v>
      </c>
      <c r="H11" s="67">
        <f t="shared" si="0"/>
        <v>1702.4959480000002</v>
      </c>
      <c r="I11" s="67">
        <f>470829000/1000000</f>
        <v>470.82900000000001</v>
      </c>
      <c r="J11" s="67">
        <f>56167900/1000000</f>
        <v>56.167900000000003</v>
      </c>
      <c r="K11" s="67">
        <f>546756265/1000000</f>
        <v>546.75626499999998</v>
      </c>
      <c r="L11" s="67">
        <f>97682447/1000000</f>
        <v>97.682446999999996</v>
      </c>
      <c r="M11" s="67">
        <f>+(22284023+77223141+385160196+46392976)/1000000</f>
        <v>531.06033600000001</v>
      </c>
      <c r="N11" s="67">
        <f t="shared" si="1"/>
        <v>1702.495948</v>
      </c>
      <c r="O11" s="10"/>
    </row>
    <row r="12" spans="1:15" ht="10.9" customHeight="1" x14ac:dyDescent="0.2">
      <c r="A12" s="92" t="s">
        <v>123</v>
      </c>
      <c r="B12" s="93">
        <f>172839873/1000000</f>
        <v>172.83987300000001</v>
      </c>
      <c r="C12" s="67">
        <f>561582265/1000000</f>
        <v>561.58226500000001</v>
      </c>
      <c r="D12" s="67">
        <f>+(35754196+763722)/1000000</f>
        <v>36.517918000000002</v>
      </c>
      <c r="E12" s="67">
        <f>314387754/1000000</f>
        <v>314.38775399999997</v>
      </c>
      <c r="F12" s="67">
        <f>+(1887997+67084654+119383248)/1000000</f>
        <v>188.35589899999999</v>
      </c>
      <c r="G12" s="67">
        <f>40537061/1000000</f>
        <v>40.537061000000001</v>
      </c>
      <c r="H12" s="67">
        <f t="shared" si="0"/>
        <v>1314.2207699999999</v>
      </c>
      <c r="I12" s="67">
        <f>681661222/1000000</f>
        <v>681.66122199999995</v>
      </c>
      <c r="J12" s="67">
        <f>90750000/1000000</f>
        <v>90.75</v>
      </c>
      <c r="K12" s="67">
        <f>238710079/1000000</f>
        <v>238.71007900000001</v>
      </c>
      <c r="L12" s="67">
        <f>118354171/1000000</f>
        <v>118.35417099999999</v>
      </c>
      <c r="M12" s="67">
        <f>+(7423428+5500000+34238058+1967814+47785677+36799424+2019116+49011781)/1000000</f>
        <v>184.74529799999999</v>
      </c>
      <c r="N12" s="67">
        <f t="shared" si="1"/>
        <v>1314.2207699999999</v>
      </c>
      <c r="O12" s="10"/>
    </row>
    <row r="13" spans="1:15" ht="10.9" customHeight="1" x14ac:dyDescent="0.2">
      <c r="A13" s="92" t="s">
        <v>124</v>
      </c>
      <c r="B13" s="93">
        <f>71033959/1000000</f>
        <v>71.033958999999996</v>
      </c>
      <c r="C13" s="67">
        <f>370807325/1000000</f>
        <v>370.80732499999999</v>
      </c>
      <c r="D13" s="67">
        <f>+(88560334+17464676)/1000000</f>
        <v>106.02500999999999</v>
      </c>
      <c r="E13" s="67">
        <f>180024623/1000000</f>
        <v>180.02462299999999</v>
      </c>
      <c r="F13" s="67">
        <f>+(84196551+10182310+165239039+1004850+750421)/1000000</f>
        <v>261.37317100000001</v>
      </c>
      <c r="G13" s="67">
        <f>133446985/1000000</f>
        <v>133.44698500000001</v>
      </c>
      <c r="H13" s="67">
        <f t="shared" si="0"/>
        <v>1122.7110729999999</v>
      </c>
      <c r="I13" s="67">
        <f>362858120/1000000</f>
        <v>362.85811999999999</v>
      </c>
      <c r="J13" s="67">
        <f>45375000/1000000</f>
        <v>45.375</v>
      </c>
      <c r="K13" s="67">
        <f>301340764/1000000</f>
        <v>301.34076399999998</v>
      </c>
      <c r="L13" s="67">
        <f>130207373/1000000</f>
        <v>130.20737299999999</v>
      </c>
      <c r="M13" s="67">
        <f>+(2613570+13622424+264247114+2446707+1)/1000000</f>
        <v>282.92981600000002</v>
      </c>
      <c r="N13" s="67">
        <f t="shared" si="1"/>
        <v>1122.7110729999999</v>
      </c>
      <c r="O13" s="10"/>
    </row>
    <row r="14" spans="1:15" ht="10.9" customHeight="1" x14ac:dyDescent="0.2">
      <c r="A14" s="92" t="s">
        <v>125</v>
      </c>
      <c r="B14" s="93">
        <f>+(84886202+34664370)/1000000</f>
        <v>119.550572</v>
      </c>
      <c r="C14" s="67">
        <f>358600000/1000000</f>
        <v>358.6</v>
      </c>
      <c r="D14" s="67">
        <f>+(2818141+25164988+3246170)/1000000</f>
        <v>31.229299000000001</v>
      </c>
      <c r="E14" s="67">
        <f>25680557/1000000</f>
        <v>25.680557</v>
      </c>
      <c r="F14" s="67">
        <f>+(1173391+10292328+85994364+12000000)/1000000</f>
        <v>109.460083</v>
      </c>
      <c r="G14" s="67">
        <f>295497012/1000000</f>
        <v>295.49701199999998</v>
      </c>
      <c r="H14" s="67">
        <f t="shared" si="0"/>
        <v>940.01752299999998</v>
      </c>
      <c r="I14" s="67">
        <f>240000000/1000000</f>
        <v>240</v>
      </c>
      <c r="J14" s="67">
        <v>0</v>
      </c>
      <c r="K14" s="67">
        <f>308326761/1000000</f>
        <v>308.32676099999998</v>
      </c>
      <c r="L14" s="67">
        <f>122231476/1000000</f>
        <v>122.231476</v>
      </c>
      <c r="M14" s="67">
        <f>+(21621653+99321911+110926278+37589444)/1000000</f>
        <v>269.45928600000002</v>
      </c>
      <c r="N14" s="67">
        <f t="shared" si="1"/>
        <v>940.0175230000001</v>
      </c>
      <c r="O14" s="10"/>
    </row>
    <row r="15" spans="1:15" ht="10.9" customHeight="1" x14ac:dyDescent="0.2">
      <c r="A15" s="92" t="s">
        <v>126</v>
      </c>
      <c r="B15" s="93">
        <f>+(25000000+77441554)/1000000</f>
        <v>102.441554</v>
      </c>
      <c r="C15" s="67">
        <f>608003960/1000000</f>
        <v>608.00396000000001</v>
      </c>
      <c r="D15" s="67">
        <f>+(697019449-608003960)/1000000</f>
        <v>89.015489000000002</v>
      </c>
      <c r="E15" s="67">
        <f>414494087/1000000</f>
        <v>414.49408699999998</v>
      </c>
      <c r="F15" s="67">
        <f>+(8450231+5999732+364152+241606673)/1000000</f>
        <v>256.42078800000002</v>
      </c>
      <c r="G15" s="67">
        <f>522571758/1000000</f>
        <v>522.57175800000005</v>
      </c>
      <c r="H15" s="67">
        <f t="shared" si="0"/>
        <v>1992.9476359999999</v>
      </c>
      <c r="I15" s="67">
        <f>401250000/1000000</f>
        <v>401.25</v>
      </c>
      <c r="J15" s="67">
        <f>18000000/1000000</f>
        <v>18</v>
      </c>
      <c r="K15" s="67">
        <f>+(205713053+10000000+20000000+25000000+193136940+92429468)/1000000</f>
        <v>546.27946099999997</v>
      </c>
      <c r="L15" s="67">
        <f>83421012/1000000</f>
        <v>83.421012000000005</v>
      </c>
      <c r="M15" s="67">
        <f>+(182468430+177316534+484100000+100112199)/1000000</f>
        <v>943.997163</v>
      </c>
      <c r="N15" s="67">
        <f t="shared" si="1"/>
        <v>1992.9476359999999</v>
      </c>
      <c r="O15" s="10"/>
    </row>
    <row r="16" spans="1:15" ht="10.9" customHeight="1" x14ac:dyDescent="0.2">
      <c r="A16" s="92" t="s">
        <v>127</v>
      </c>
      <c r="B16" s="93">
        <f>25000000/1000000</f>
        <v>25</v>
      </c>
      <c r="C16" s="67">
        <f>220500000/1000000</f>
        <v>220.5</v>
      </c>
      <c r="D16" s="67">
        <f>+(14339632+3863583)/1000000</f>
        <v>18.203215</v>
      </c>
      <c r="E16" s="67">
        <f>24182971/1000000</f>
        <v>24.182970999999998</v>
      </c>
      <c r="F16" s="67">
        <f>+(11501629+147735916+128250+4460560)/1000000</f>
        <v>163.82635500000001</v>
      </c>
      <c r="G16" s="67">
        <f>121709499/1000000</f>
        <v>121.70949899999999</v>
      </c>
      <c r="H16" s="67">
        <f t="shared" si="0"/>
        <v>573.42203999999992</v>
      </c>
      <c r="I16" s="67">
        <f>240000000/1000000</f>
        <v>240</v>
      </c>
      <c r="J16" s="67">
        <v>0</v>
      </c>
      <c r="K16" s="67">
        <f>30576395/1000000</f>
        <v>30.576395000000002</v>
      </c>
      <c r="L16" s="67">
        <f>41020610/1000000</f>
        <v>41.020609999999998</v>
      </c>
      <c r="M16" s="67">
        <f>+(2391644+259433391)/1000000</f>
        <v>261.82503500000001</v>
      </c>
      <c r="N16" s="67">
        <f t="shared" si="1"/>
        <v>573.42203999999992</v>
      </c>
      <c r="O16" s="10"/>
    </row>
    <row r="17" spans="1:15" ht="10.9" customHeight="1" x14ac:dyDescent="0.2">
      <c r="A17" s="92" t="s">
        <v>128</v>
      </c>
      <c r="B17" s="93">
        <f>632169757/1000000</f>
        <v>632.169757</v>
      </c>
      <c r="C17" s="67">
        <f>1200000000/1000000</f>
        <v>1200</v>
      </c>
      <c r="D17" s="67">
        <f>+(1258501493-1200000000)/1000000</f>
        <v>58.501493000000004</v>
      </c>
      <c r="E17" s="67">
        <f>76760640/1000000</f>
        <v>76.760639999999995</v>
      </c>
      <c r="F17" s="67">
        <f>+(20837140+59310647+32391+1770795)/1000000</f>
        <v>81.950973000000005</v>
      </c>
      <c r="G17" s="67">
        <f>245643730/1000000</f>
        <v>245.64373000000001</v>
      </c>
      <c r="H17" s="67">
        <f t="shared" si="0"/>
        <v>2295.0265930000005</v>
      </c>
      <c r="I17" s="67">
        <f>431101440/1000000</f>
        <v>431.10144000000003</v>
      </c>
      <c r="J17" s="67">
        <f>356686881/1000000</f>
        <v>356.68688100000003</v>
      </c>
      <c r="K17" s="67">
        <f>+(463261476+487010127)/1000000</f>
        <v>950.27160300000003</v>
      </c>
      <c r="L17" s="67">
        <f>95431959/1000000</f>
        <v>95.431959000000006</v>
      </c>
      <c r="M17" s="67">
        <f>+(18569635+442965075)/1000000</f>
        <v>461.53471000000002</v>
      </c>
      <c r="N17" s="67">
        <f t="shared" si="1"/>
        <v>2295.026593</v>
      </c>
      <c r="O17" s="10"/>
    </row>
    <row r="18" spans="1:15" ht="10.9" customHeight="1" x14ac:dyDescent="0.2">
      <c r="A18" s="92" t="s">
        <v>129</v>
      </c>
      <c r="B18" s="93">
        <f>505654023/1000000</f>
        <v>505.654023</v>
      </c>
      <c r="C18" s="67">
        <f>473503243/1000000</f>
        <v>473.503243</v>
      </c>
      <c r="D18" s="67">
        <f>+(96861377+6977987)/1000000</f>
        <v>103.839364</v>
      </c>
      <c r="E18" s="67">
        <f>279887991/1000000</f>
        <v>279.887991</v>
      </c>
      <c r="F18" s="67">
        <f>+(12307108+491016634+246859)/1000000</f>
        <v>503.57060100000001</v>
      </c>
      <c r="G18" s="67">
        <f>555148209/1000000</f>
        <v>555.14820899999995</v>
      </c>
      <c r="H18" s="67">
        <f t="shared" si="0"/>
        <v>2421.603431</v>
      </c>
      <c r="I18" s="67">
        <f>738661760/1000000</f>
        <v>738.66175999999996</v>
      </c>
      <c r="J18" s="67">
        <v>0</v>
      </c>
      <c r="K18" s="67">
        <f>899448951/1000000</f>
        <v>899.44895099999997</v>
      </c>
      <c r="L18" s="67">
        <f>205543699/1000000</f>
        <v>205.543699</v>
      </c>
      <c r="M18" s="67">
        <f>+(35600108+5098031+34295045+210284652+1794000+8691282+200883278+81302625)/1000000</f>
        <v>577.94902100000002</v>
      </c>
      <c r="N18" s="67">
        <f t="shared" si="1"/>
        <v>2421.603431</v>
      </c>
      <c r="O18" s="10"/>
    </row>
    <row r="19" spans="1:15" ht="10.9" customHeight="1" x14ac:dyDescent="0.2">
      <c r="A19" s="92" t="s">
        <v>130</v>
      </c>
      <c r="B19" s="93">
        <f>55633990/1000000</f>
        <v>55.633989999999997</v>
      </c>
      <c r="C19" s="67">
        <f>494935605/1000000</f>
        <v>494.93560500000001</v>
      </c>
      <c r="D19" s="67">
        <f>+(541158180-494935605)/1000000</f>
        <v>46.222574999999999</v>
      </c>
      <c r="E19" s="67">
        <f>261534491/1000000</f>
        <v>261.534491</v>
      </c>
      <c r="F19" s="67">
        <f>+(21522026+69945148+632995+1007770)/1000000</f>
        <v>93.107939000000002</v>
      </c>
      <c r="G19" s="67">
        <f>156449403/1000000</f>
        <v>156.44940299999999</v>
      </c>
      <c r="H19" s="67">
        <f t="shared" si="0"/>
        <v>1107.8840030000001</v>
      </c>
      <c r="I19" s="67">
        <f>391184640/1000000</f>
        <v>391.18464</v>
      </c>
      <c r="J19" s="67">
        <v>0</v>
      </c>
      <c r="K19" s="67">
        <f>+(172594241+80975293+87491412)/1000000</f>
        <v>341.060946</v>
      </c>
      <c r="L19" s="67">
        <f>98118765/1000000</f>
        <v>98.118764999999996</v>
      </c>
      <c r="M19" s="67">
        <f>+(6997388+270522264)/1000000</f>
        <v>277.51965200000001</v>
      </c>
      <c r="N19" s="67">
        <f t="shared" si="1"/>
        <v>1107.8840029999999</v>
      </c>
      <c r="O19" s="10"/>
    </row>
    <row r="20" spans="1:15" ht="10.9" customHeight="1" x14ac:dyDescent="0.2">
      <c r="A20" s="92" t="s">
        <v>131</v>
      </c>
      <c r="B20" s="93">
        <f>60298821/1000000</f>
        <v>60.298820999999997</v>
      </c>
      <c r="C20" s="67">
        <f>123490963/1000000</f>
        <v>123.49096299999999</v>
      </c>
      <c r="D20" s="67">
        <f>+(98926710+1297020+4627634)/1000000</f>
        <v>104.851364</v>
      </c>
      <c r="E20" s="67">
        <v>0</v>
      </c>
      <c r="F20" s="67">
        <f>+(1060362984-59893327+1682662)/1000000</f>
        <v>1002.152319</v>
      </c>
      <c r="G20" s="67">
        <f>59893327/1000000</f>
        <v>59.893326999999999</v>
      </c>
      <c r="H20" s="67">
        <f t="shared" si="0"/>
        <v>1350.686794</v>
      </c>
      <c r="I20" s="67">
        <f>644350510/1000000</f>
        <v>644.35050999999999</v>
      </c>
      <c r="J20" s="67">
        <v>0</v>
      </c>
      <c r="K20" s="67">
        <f>95022638/1000000</f>
        <v>95.022638000000001</v>
      </c>
      <c r="L20" s="67">
        <f>120325365/1000000</f>
        <v>120.32536500000001</v>
      </c>
      <c r="M20" s="67">
        <f>490988281/1000000</f>
        <v>490.98828099999997</v>
      </c>
      <c r="N20" s="67">
        <f t="shared" si="1"/>
        <v>1350.686794</v>
      </c>
      <c r="O20" s="10"/>
    </row>
    <row r="21" spans="1:15" ht="10.9" customHeight="1" x14ac:dyDescent="0.2">
      <c r="A21" s="92" t="s">
        <v>132</v>
      </c>
      <c r="B21" s="93">
        <f>3940108689/1000000</f>
        <v>3940.1086890000001</v>
      </c>
      <c r="C21" s="67">
        <f>813505668/1000000</f>
        <v>813.50566800000001</v>
      </c>
      <c r="D21" s="67">
        <f>+(74308788+9103197)/1000000</f>
        <v>83.411985000000001</v>
      </c>
      <c r="E21" s="67">
        <f>616562652/1000000</f>
        <v>616.56265199999996</v>
      </c>
      <c r="F21" s="67">
        <f>+(116750322+2443917092+1950333)/1000000</f>
        <v>2562.6177469999998</v>
      </c>
      <c r="G21" s="67">
        <f>+(859974010+1289239151)/1000000</f>
        <v>2149.2131610000001</v>
      </c>
      <c r="H21" s="67">
        <f t="shared" si="0"/>
        <v>10165.419902</v>
      </c>
      <c r="I21" s="67">
        <f>806911870/1000000</f>
        <v>806.91187000000002</v>
      </c>
      <c r="J21" s="67">
        <f>195113205/1000000</f>
        <v>195.11320499999999</v>
      </c>
      <c r="K21" s="67">
        <f>5049002964/1000000</f>
        <v>5049.0029640000002</v>
      </c>
      <c r="L21" s="67">
        <f>674051405/1000000</f>
        <v>674.05140500000005</v>
      </c>
      <c r="M21" s="67">
        <f>+(338990220+2869613355+231736883)/1000000</f>
        <v>3440.3404580000001</v>
      </c>
      <c r="N21" s="67">
        <f t="shared" si="1"/>
        <v>10165.419902000001</v>
      </c>
      <c r="O21" s="10"/>
    </row>
    <row r="22" spans="1:15" ht="10.9" customHeight="1" x14ac:dyDescent="0.2">
      <c r="A22" s="92" t="s">
        <v>133</v>
      </c>
      <c r="B22" s="93">
        <f>+(25000000+38206382+270988)/1000000</f>
        <v>63.477370000000001</v>
      </c>
      <c r="C22" s="67">
        <f>221250000/1000000</f>
        <v>221.25</v>
      </c>
      <c r="D22" s="67">
        <f>+(9490891+25022113)/1000000</f>
        <v>34.513004000000002</v>
      </c>
      <c r="E22" s="67">
        <f>248784313/1000000</f>
        <v>248.784313</v>
      </c>
      <c r="F22" s="67">
        <f>+(148861767+15739500+827110+914700)/1000000</f>
        <v>166.34307699999999</v>
      </c>
      <c r="G22" s="67">
        <f>74649310/1000000</f>
        <v>74.64931</v>
      </c>
      <c r="H22" s="67">
        <f t="shared" si="0"/>
        <v>809.01707400000009</v>
      </c>
      <c r="I22" s="67">
        <f>367816450/1000000</f>
        <v>367.81644999999997</v>
      </c>
      <c r="J22" s="67">
        <v>0</v>
      </c>
      <c r="K22" s="67">
        <f>67481387/1000000</f>
        <v>67.481386999999998</v>
      </c>
      <c r="L22" s="67">
        <f>79407289/1000000</f>
        <v>79.407289000000006</v>
      </c>
      <c r="M22" s="67">
        <f>+(2221035+107217275+2169913+182703725)/1000000</f>
        <v>294.31194799999997</v>
      </c>
      <c r="N22" s="67">
        <f t="shared" si="1"/>
        <v>809.01707399999987</v>
      </c>
      <c r="O22" s="10"/>
    </row>
    <row r="23" spans="1:15" ht="10.9" customHeight="1" x14ac:dyDescent="0.2">
      <c r="A23" s="92" t="s">
        <v>134</v>
      </c>
      <c r="B23" s="93">
        <f>+(25000000+3387791)/1000000</f>
        <v>28.387791</v>
      </c>
      <c r="C23" s="67">
        <f>406405000/1000000</f>
        <v>406.40499999999997</v>
      </c>
      <c r="D23" s="67">
        <f>143457599/1000000</f>
        <v>143.45759899999999</v>
      </c>
      <c r="E23" s="67">
        <f>17885051/1000000</f>
        <v>17.885051000000001</v>
      </c>
      <c r="F23" s="67">
        <f>+(14410242+80202893+912283+485000+1057634+3400000+276806000)/1000000</f>
        <v>377.27405199999998</v>
      </c>
      <c r="G23" s="67">
        <f>+(53061785)/1000000</f>
        <v>53.061785</v>
      </c>
      <c r="H23" s="67">
        <f t="shared" si="0"/>
        <v>1026.471278</v>
      </c>
      <c r="I23" s="67">
        <f>356408790/1000000</f>
        <v>356.40879000000001</v>
      </c>
      <c r="J23" s="67">
        <v>0</v>
      </c>
      <c r="K23" s="67">
        <f>148586576/1000000</f>
        <v>148.58657600000001</v>
      </c>
      <c r="L23" s="67">
        <f>121494906/1000000</f>
        <v>121.494906</v>
      </c>
      <c r="M23" s="67">
        <f>399981006/1000000</f>
        <v>399.98100599999998</v>
      </c>
      <c r="N23" s="67">
        <f t="shared" si="1"/>
        <v>1026.471278</v>
      </c>
      <c r="O23" s="10"/>
    </row>
    <row r="24" spans="1:15" ht="10.9" customHeight="1" x14ac:dyDescent="0.2">
      <c r="A24" s="92" t="s">
        <v>135</v>
      </c>
      <c r="B24" s="93">
        <f>+(25000000+193601258)/1000000</f>
        <v>218.601258</v>
      </c>
      <c r="C24" s="67">
        <f>276400000/1000000</f>
        <v>276.39999999999998</v>
      </c>
      <c r="D24" s="67">
        <f>+(371522858-276400000)/1000000</f>
        <v>95.122857999999994</v>
      </c>
      <c r="E24" s="67">
        <f>153820691/1000000</f>
        <v>153.82069100000001</v>
      </c>
      <c r="F24" s="67">
        <f>+(16370600+26978646+88791+1575650)/1000000</f>
        <v>45.013686999999997</v>
      </c>
      <c r="G24" s="67">
        <f>170925759/1000000</f>
        <v>170.925759</v>
      </c>
      <c r="H24" s="67">
        <f t="shared" si="0"/>
        <v>959.88425299999994</v>
      </c>
      <c r="I24" s="67">
        <f>295064800/1000000</f>
        <v>295.06479999999999</v>
      </c>
      <c r="J24" s="67">
        <v>0</v>
      </c>
      <c r="K24" s="67">
        <f>(147512416+93854130+4544401)/1000000</f>
        <v>245.91094699999999</v>
      </c>
      <c r="L24" s="67">
        <f>111530771/1000000</f>
        <v>111.530771</v>
      </c>
      <c r="M24" s="67">
        <f>+(5953277+38435530+137135780+125853148)/1000000</f>
        <v>307.37773499999997</v>
      </c>
      <c r="N24" s="67">
        <f t="shared" si="1"/>
        <v>959.88425299999994</v>
      </c>
      <c r="O24" s="10"/>
    </row>
    <row r="25" spans="1:15" ht="10.9" customHeight="1" x14ac:dyDescent="0.2">
      <c r="A25" s="92" t="s">
        <v>136</v>
      </c>
      <c r="B25" s="93">
        <f>25344476/1000000</f>
        <v>25.344476</v>
      </c>
      <c r="C25" s="67">
        <f>301609733/1000000</f>
        <v>301.60973300000001</v>
      </c>
      <c r="D25" s="67">
        <f>+(9413940+23733720)/1000000</f>
        <v>33.147660000000002</v>
      </c>
      <c r="E25" s="67">
        <f>135324952/1000000</f>
        <v>135.324952</v>
      </c>
      <c r="F25" s="67">
        <f>+(9747802+325549655+380691+108347)/1000000</f>
        <v>335.786495</v>
      </c>
      <c r="G25" s="67">
        <f>133468974/1000000</f>
        <v>133.468974</v>
      </c>
      <c r="H25" s="67">
        <f t="shared" si="0"/>
        <v>964.68228999999997</v>
      </c>
      <c r="I25" s="67">
        <f>402703060/1000000</f>
        <v>402.70305999999999</v>
      </c>
      <c r="J25" s="67">
        <f>55964550/1000000</f>
        <v>55.964550000000003</v>
      </c>
      <c r="K25" s="67">
        <f>117019109/1000000</f>
        <v>117.019109</v>
      </c>
      <c r="L25" s="67">
        <f>89869662/1000000</f>
        <v>89.869662000000005</v>
      </c>
      <c r="M25" s="67">
        <f>+(8593112+290532797)/1000000</f>
        <v>299.12590899999998</v>
      </c>
      <c r="N25" s="67">
        <f t="shared" si="1"/>
        <v>964.68228999999985</v>
      </c>
      <c r="O25" s="10"/>
    </row>
    <row r="26" spans="1:15" ht="10.9" customHeight="1" x14ac:dyDescent="0.2">
      <c r="A26" s="92" t="s">
        <v>137</v>
      </c>
      <c r="B26" s="93">
        <f>+(25000000+120469369)/1000000</f>
        <v>145.469369</v>
      </c>
      <c r="C26" s="67">
        <f>575642074/1000000</f>
        <v>575.64207399999998</v>
      </c>
      <c r="D26" s="67">
        <f>+(5416120+49506918)/1000000</f>
        <v>54.923037999999998</v>
      </c>
      <c r="E26" s="67">
        <f>336265574/1000000</f>
        <v>336.26557400000002</v>
      </c>
      <c r="F26" s="67">
        <f>+(596300+828850+108985108)/1000000</f>
        <v>110.410258</v>
      </c>
      <c r="G26" s="67">
        <f>90306052/1000000</f>
        <v>90.306051999999994</v>
      </c>
      <c r="H26" s="67">
        <f t="shared" si="0"/>
        <v>1313.016365</v>
      </c>
      <c r="I26" s="67">
        <f>427391560/1000000</f>
        <v>427.39156000000003</v>
      </c>
      <c r="J26" s="67">
        <f>94295133/1000000</f>
        <v>94.295133000000007</v>
      </c>
      <c r="K26" s="67">
        <f>272208448/1000000</f>
        <v>272.20844799999998</v>
      </c>
      <c r="L26" s="67">
        <f>59131424/1000000</f>
        <v>59.131424000000003</v>
      </c>
      <c r="M26" s="67">
        <f>+(56668009+11658260+61465013+2344685+49358677+277495156+1000000)/1000000</f>
        <v>459.9898</v>
      </c>
      <c r="N26" s="67">
        <f t="shared" si="1"/>
        <v>1313.016365</v>
      </c>
      <c r="O26" s="10"/>
    </row>
    <row r="27" spans="1:15" ht="10.9" customHeight="1" x14ac:dyDescent="0.2">
      <c r="A27" s="92" t="s">
        <v>138</v>
      </c>
      <c r="B27" s="93">
        <f>+(25000000+3449480+201650000)/1000000</f>
        <v>230.09948</v>
      </c>
      <c r="C27" s="67">
        <f>1500000/1000000</f>
        <v>1.5</v>
      </c>
      <c r="D27" s="67">
        <f>+(43652091-1500000)/1000000</f>
        <v>42.152090999999999</v>
      </c>
      <c r="E27" s="67">
        <f>558/1000000</f>
        <v>5.5800000000000001E-4</v>
      </c>
      <c r="F27" s="67">
        <f>+(10551138+85360420+112085955+2916524)/1000000</f>
        <v>210.91403700000001</v>
      </c>
      <c r="G27" s="67">
        <f>213318723/1000000</f>
        <v>213.31872300000001</v>
      </c>
      <c r="H27" s="67">
        <f t="shared" si="0"/>
        <v>697.98488900000007</v>
      </c>
      <c r="I27" s="67">
        <f>69000000/1000000</f>
        <v>69</v>
      </c>
      <c r="J27" s="67">
        <v>0</v>
      </c>
      <c r="K27" s="67">
        <f>110354731/1000000</f>
        <v>110.354731</v>
      </c>
      <c r="L27" s="67">
        <f>107966147/1000000</f>
        <v>107.96614700000001</v>
      </c>
      <c r="M27" s="67">
        <f>+(17532377+393131634)/1000000</f>
        <v>410.66401100000002</v>
      </c>
      <c r="N27" s="67">
        <f t="shared" si="1"/>
        <v>697.98488900000007</v>
      </c>
      <c r="O27" s="10"/>
    </row>
    <row r="28" spans="1:15" ht="10.9" customHeight="1" x14ac:dyDescent="0.2">
      <c r="A28" s="92" t="s">
        <v>139</v>
      </c>
      <c r="B28" s="93">
        <f>(65765782+25000000)/1000000</f>
        <v>90.765782000000002</v>
      </c>
      <c r="C28" s="67">
        <f>884969512/1000000</f>
        <v>884.96951200000001</v>
      </c>
      <c r="D28" s="67">
        <f>+(939416352-884969512)/1000000</f>
        <v>54.446840000000002</v>
      </c>
      <c r="E28" s="67">
        <f>4245819/1000000</f>
        <v>4.245819</v>
      </c>
      <c r="F28" s="67">
        <f>+(1279567+5627650+575920794+127035119+190279)/1000000</f>
        <v>710.05340899999999</v>
      </c>
      <c r="G28" s="67">
        <f>34863342/1000000</f>
        <v>34.863342000000003</v>
      </c>
      <c r="H28" s="67">
        <f t="shared" si="0"/>
        <v>1779.3447040000001</v>
      </c>
      <c r="I28" s="67">
        <f>430953600/1000000</f>
        <v>430.95359999999999</v>
      </c>
      <c r="J28" s="67">
        <f>74814125/1000000</f>
        <v>74.814125000000004</v>
      </c>
      <c r="K28" s="67">
        <f>268378873/1000000</f>
        <v>268.378873</v>
      </c>
      <c r="L28" s="67">
        <f>95829652/1000000</f>
        <v>95.829651999999996</v>
      </c>
      <c r="M28" s="67">
        <f>909368454/1000000</f>
        <v>909.36845400000004</v>
      </c>
      <c r="N28" s="67">
        <f t="shared" si="1"/>
        <v>1779.3447040000001</v>
      </c>
      <c r="O28" s="10"/>
    </row>
    <row r="29" spans="1:15" ht="10.9" customHeight="1" x14ac:dyDescent="0.2">
      <c r="A29" s="94" t="s">
        <v>140</v>
      </c>
      <c r="B29" s="93">
        <f>75040024/1000000</f>
        <v>75.040024000000003</v>
      </c>
      <c r="C29" s="67">
        <f>225005540/1000000</f>
        <v>225.00554</v>
      </c>
      <c r="D29" s="67">
        <f>+(62699894+13480320)/1000000</f>
        <v>76.180214000000007</v>
      </c>
      <c r="E29" s="67">
        <f>276603775/1000000</f>
        <v>276.60377499999998</v>
      </c>
      <c r="F29" s="67">
        <f>+(2937453+379815081+180305+321890+268450)/1000000</f>
        <v>383.52317900000003</v>
      </c>
      <c r="G29" s="67">
        <f>318528473/1000000</f>
        <v>318.52847300000002</v>
      </c>
      <c r="H29" s="67">
        <f t="shared" si="0"/>
        <v>1354.8812050000001</v>
      </c>
      <c r="I29" s="67">
        <f>426596110/1000000</f>
        <v>426.59611000000001</v>
      </c>
      <c r="J29" s="67">
        <v>0</v>
      </c>
      <c r="K29" s="67">
        <f>452597472/1000000</f>
        <v>452.59747199999998</v>
      </c>
      <c r="L29" s="67">
        <f>99550573/1000000</f>
        <v>99.550573</v>
      </c>
      <c r="M29" s="67">
        <f>+(7551554+368585497-1)/1000000</f>
        <v>376.13704999999999</v>
      </c>
      <c r="N29" s="67">
        <f t="shared" si="1"/>
        <v>1354.8812049999999</v>
      </c>
      <c r="O29" s="10"/>
    </row>
    <row r="30" spans="1:15" ht="10.9" customHeight="1" x14ac:dyDescent="0.2">
      <c r="A30" s="92" t="s">
        <v>141</v>
      </c>
      <c r="B30" s="93">
        <f>28846982/1000000</f>
        <v>28.846982000000001</v>
      </c>
      <c r="C30" s="67">
        <f>818700000/1000000</f>
        <v>818.7</v>
      </c>
      <c r="D30" s="67">
        <f>+(19316869+276739)/1000000</f>
        <v>19.593608</v>
      </c>
      <c r="E30" s="67">
        <f>274344635/1000000</f>
        <v>274.34463499999998</v>
      </c>
      <c r="F30" s="67">
        <f>+(1789616+114880350+31275159+20201071)/1000000</f>
        <v>168.146196</v>
      </c>
      <c r="G30" s="67">
        <f>282729452/1000000</f>
        <v>282.72945199999998</v>
      </c>
      <c r="H30" s="67">
        <f t="shared" si="0"/>
        <v>1592.3608730000001</v>
      </c>
      <c r="I30" s="67">
        <f>402076390/1000000</f>
        <v>402.07639</v>
      </c>
      <c r="J30" s="67">
        <v>0</v>
      </c>
      <c r="K30" s="67">
        <f>569636170/1000000</f>
        <v>569.63616999999999</v>
      </c>
      <c r="L30" s="67">
        <f>227371312/1000000</f>
        <v>227.37131199999999</v>
      </c>
      <c r="M30" s="67">
        <f>+(22138931+45385411+68905498+250389321+6457840)/1000000</f>
        <v>393.27700099999998</v>
      </c>
      <c r="N30" s="67">
        <f t="shared" si="1"/>
        <v>1592.3608729999999</v>
      </c>
      <c r="O30" s="10"/>
    </row>
    <row r="31" spans="1:15" ht="10.9" customHeight="1" x14ac:dyDescent="0.2">
      <c r="A31" s="92" t="s">
        <v>142</v>
      </c>
      <c r="B31" s="93">
        <f>66968418/1000000</f>
        <v>66.968418</v>
      </c>
      <c r="C31" s="67">
        <f>1007081000/1000000</f>
        <v>1007.081</v>
      </c>
      <c r="D31" s="67">
        <f>+(1140665667-1007081000)/1000000</f>
        <v>133.584667</v>
      </c>
      <c r="E31" s="67">
        <f>545428418/1000000</f>
        <v>545.42841799999997</v>
      </c>
      <c r="F31" s="67">
        <f>+(318514+796784+10262334)/1000000</f>
        <v>11.377632</v>
      </c>
      <c r="G31" s="67">
        <f>449020617/1000000</f>
        <v>449.02061700000002</v>
      </c>
      <c r="H31" s="67">
        <f t="shared" si="0"/>
        <v>2213.460752</v>
      </c>
      <c r="I31" s="67">
        <f>462000000/1000000</f>
        <v>462</v>
      </c>
      <c r="J31" s="67">
        <f>200000000/1000000</f>
        <v>200</v>
      </c>
      <c r="K31" s="67">
        <f>533317252/1000000</f>
        <v>533.31725200000005</v>
      </c>
      <c r="L31" s="67">
        <f>198028700/1000000</f>
        <v>198.02869999999999</v>
      </c>
      <c r="M31" s="67">
        <f>+(4246513+815868287)/1000000</f>
        <v>820.11479999999995</v>
      </c>
      <c r="N31" s="67">
        <f t="shared" si="1"/>
        <v>2213.460752</v>
      </c>
      <c r="O31" s="10"/>
    </row>
    <row r="32" spans="1:15" ht="10.9" customHeight="1" x14ac:dyDescent="0.2">
      <c r="A32" s="92" t="s">
        <v>143</v>
      </c>
      <c r="B32" s="93">
        <f>388652536/1000000</f>
        <v>388.652536</v>
      </c>
      <c r="C32" s="67">
        <f>440126850/1000000</f>
        <v>440.12684999999999</v>
      </c>
      <c r="D32" s="67">
        <f>+(255416227+17336517)/1000000</f>
        <v>272.75274400000001</v>
      </c>
      <c r="E32" s="67">
        <f>89008184/1000000</f>
        <v>89.008184</v>
      </c>
      <c r="F32" s="67">
        <f>+(126064308+536989987+4986426+50402240+336875232+1736599)/1000000</f>
        <v>1057.0547919999999</v>
      </c>
      <c r="G32" s="67">
        <f>+(887627023+4130090+80454560+1292065345+34282698)/1000000</f>
        <v>2298.5597160000002</v>
      </c>
      <c r="H32" s="67">
        <f t="shared" si="0"/>
        <v>4546.1548220000004</v>
      </c>
      <c r="I32" s="67">
        <f>612993730/1000000</f>
        <v>612.99373000000003</v>
      </c>
      <c r="J32" s="67">
        <v>0</v>
      </c>
      <c r="K32" s="67">
        <f>2638842373/1000000</f>
        <v>2638.842373</v>
      </c>
      <c r="L32" s="67">
        <f>424186466/1000000</f>
        <v>424.186466</v>
      </c>
      <c r="M32" s="67">
        <f>+(4920763+89085891+189035800+103995345+465754453+17340000+1)/1000000</f>
        <v>870.13225299999999</v>
      </c>
      <c r="N32" s="67">
        <f t="shared" si="1"/>
        <v>4546.1548220000004</v>
      </c>
      <c r="O32" s="10"/>
    </row>
    <row r="33" spans="1:15" ht="10.9" customHeight="1" x14ac:dyDescent="0.2">
      <c r="A33" s="92" t="s">
        <v>144</v>
      </c>
      <c r="B33" s="93">
        <f>713947976/1000000</f>
        <v>713.94797600000004</v>
      </c>
      <c r="C33" s="67">
        <f>264807692/1000000</f>
        <v>264.80769199999997</v>
      </c>
      <c r="D33" s="67">
        <f>+(470123276-264807692)/1000000</f>
        <v>205.315584</v>
      </c>
      <c r="E33" s="67">
        <f>460500555/1000000</f>
        <v>460.50055500000002</v>
      </c>
      <c r="F33" s="67">
        <f>+(1215785+261463747+1512500)/1000000</f>
        <v>264.19203199999998</v>
      </c>
      <c r="G33" s="67">
        <f>302804138/1000000</f>
        <v>302.80413800000002</v>
      </c>
      <c r="H33" s="67">
        <f t="shared" si="0"/>
        <v>2211.5679770000002</v>
      </c>
      <c r="I33" s="67">
        <f>403415720/1000000</f>
        <v>403.41572000000002</v>
      </c>
      <c r="J33" s="67">
        <f>897121/1000000</f>
        <v>0.89712099999999995</v>
      </c>
      <c r="K33" s="67">
        <f>1088833506/1000000</f>
        <v>1088.8335059999999</v>
      </c>
      <c r="L33" s="67">
        <f>176204830/1000000</f>
        <v>176.20482999999999</v>
      </c>
      <c r="M33" s="67">
        <f>+(718421629-176204829)/1000000</f>
        <v>542.21680000000003</v>
      </c>
      <c r="N33" s="67">
        <f t="shared" si="1"/>
        <v>2211.5679769999997</v>
      </c>
      <c r="O33" s="10"/>
    </row>
    <row r="34" spans="1:15" ht="10.9" customHeight="1" x14ac:dyDescent="0.2">
      <c r="A34" s="92" t="s">
        <v>145</v>
      </c>
      <c r="B34" s="93">
        <f>39643065/1000000</f>
        <v>39.643065</v>
      </c>
      <c r="C34" s="67">
        <f>604400000/1000000</f>
        <v>604.4</v>
      </c>
      <c r="D34" s="67">
        <f>+(2538176+1174825)/1000000</f>
        <v>3.7130010000000002</v>
      </c>
      <c r="E34" s="67">
        <v>0</v>
      </c>
      <c r="F34" s="67">
        <f>+(30341834+74302235+110363044+95591441+1808555+118552+22844)/1000000</f>
        <v>312.54850499999998</v>
      </c>
      <c r="G34" s="67">
        <f>61532651/1000000</f>
        <v>61.532651000000001</v>
      </c>
      <c r="H34" s="67">
        <f t="shared" si="0"/>
        <v>1021.8372219999999</v>
      </c>
      <c r="I34" s="67">
        <f>553051380/1000000</f>
        <v>553.05137999999999</v>
      </c>
      <c r="J34" s="67">
        <v>0</v>
      </c>
      <c r="K34" s="67">
        <f>+(17966803+61517503)/1000000</f>
        <v>79.484306000000004</v>
      </c>
      <c r="L34" s="67">
        <f>6785072/1000000</f>
        <v>6.7850720000000004</v>
      </c>
      <c r="M34" s="67">
        <f>+(130955+49081702+74530953+11094401+1524470+100141883+146012100)/1000000</f>
        <v>382.51646399999998</v>
      </c>
      <c r="N34" s="67">
        <f t="shared" si="1"/>
        <v>1021.8372219999999</v>
      </c>
      <c r="O34" s="10"/>
    </row>
    <row r="35" spans="1:15" ht="10.9" customHeight="1" x14ac:dyDescent="0.2">
      <c r="A35" s="92" t="s">
        <v>146</v>
      </c>
      <c r="B35" s="93">
        <f>36352113/1000000</f>
        <v>36.352113000000003</v>
      </c>
      <c r="C35" s="67">
        <f>353491261/1000000</f>
        <v>353.49126100000001</v>
      </c>
      <c r="D35" s="67">
        <f>+(428708260-353491261)/1000000</f>
        <v>75.216999000000001</v>
      </c>
      <c r="E35" s="67">
        <f>135402582/1000000</f>
        <v>135.402582</v>
      </c>
      <c r="F35" s="67">
        <f>+(9425805+177203883+324699+825457)/1000000</f>
        <v>187.779844</v>
      </c>
      <c r="G35" s="67">
        <f>147132307/1000000</f>
        <v>147.132307</v>
      </c>
      <c r="H35" s="67">
        <f t="shared" si="0"/>
        <v>935.37510599999996</v>
      </c>
      <c r="I35" s="67">
        <f>297025040/1000000</f>
        <v>297.02503999999999</v>
      </c>
      <c r="J35" s="67">
        <v>0</v>
      </c>
      <c r="K35" s="67">
        <f>225452728/1000000</f>
        <v>225.45272800000001</v>
      </c>
      <c r="L35" s="67">
        <f>151681508/1000000</f>
        <v>151.68150800000001</v>
      </c>
      <c r="M35" s="67">
        <f>+(16454555+244761275)/1000000</f>
        <v>261.21582999999998</v>
      </c>
      <c r="N35" s="67">
        <f t="shared" si="1"/>
        <v>935.37510599999996</v>
      </c>
      <c r="O35" s="10"/>
    </row>
    <row r="36" spans="1:15" ht="10.9" customHeight="1" x14ac:dyDescent="0.2">
      <c r="A36" s="92" t="s">
        <v>147</v>
      </c>
      <c r="B36" s="93">
        <f>+(25000000+136122574)/1000000</f>
        <v>161.12257399999999</v>
      </c>
      <c r="C36" s="67">
        <f>86400000/1000000</f>
        <v>86.4</v>
      </c>
      <c r="D36" s="67">
        <f>+(3459421+55839474)/1000000</f>
        <v>59.298895000000002</v>
      </c>
      <c r="E36" s="67">
        <f>394482756/1000000</f>
        <v>394.48275599999999</v>
      </c>
      <c r="F36" s="67">
        <f>+(3226453+1371310+8968848+11734629+378223659)/1000000</f>
        <v>403.524899</v>
      </c>
      <c r="G36" s="67">
        <f>199145772/1000000</f>
        <v>199.14577199999999</v>
      </c>
      <c r="H36" s="67">
        <f t="shared" si="0"/>
        <v>1303.9748959999999</v>
      </c>
      <c r="I36" s="67">
        <f>408774980/1000000</f>
        <v>408.77498000000003</v>
      </c>
      <c r="J36" s="67">
        <v>0</v>
      </c>
      <c r="K36" s="67">
        <f>281381169/1000000</f>
        <v>281.381169</v>
      </c>
      <c r="L36" s="67">
        <f>96669632/1000000</f>
        <v>96.669631999999993</v>
      </c>
      <c r="M36" s="67">
        <f>+(32931099+484218016)/1000000</f>
        <v>517.14911500000005</v>
      </c>
      <c r="N36" s="67">
        <f t="shared" si="1"/>
        <v>1303.9748960000002</v>
      </c>
      <c r="O36" s="10"/>
    </row>
    <row r="37" spans="1:15" ht="10.9" customHeight="1" x14ac:dyDescent="0.2">
      <c r="A37" s="92" t="s">
        <v>148</v>
      </c>
      <c r="B37" s="93">
        <f>1763096899/1000000</f>
        <v>1763.0968989999999</v>
      </c>
      <c r="C37" s="67">
        <f>939664933/1000000</f>
        <v>939.66493300000002</v>
      </c>
      <c r="D37" s="67">
        <f>+(54608991+2251447)/1000000</f>
        <v>56.860438000000002</v>
      </c>
      <c r="E37" s="67">
        <f>711029834/1000000</f>
        <v>711.02983400000005</v>
      </c>
      <c r="F37" s="67">
        <f>+(9921016+455394378+2120841+4360592)/1000000</f>
        <v>471.79682700000001</v>
      </c>
      <c r="G37" s="67">
        <f>553528431/1000000</f>
        <v>553.52843099999996</v>
      </c>
      <c r="H37" s="67">
        <f t="shared" si="0"/>
        <v>4495.9773620000005</v>
      </c>
      <c r="I37" s="67">
        <f>699806250/1000000</f>
        <v>699.80624999999998</v>
      </c>
      <c r="J37" s="67">
        <f>144000000/1000000</f>
        <v>144</v>
      </c>
      <c r="K37" s="67">
        <f>2310659415/1000000</f>
        <v>2310.6594150000001</v>
      </c>
      <c r="L37" s="67">
        <f>679100767/1000000</f>
        <v>679.10076700000002</v>
      </c>
      <c r="M37" s="67">
        <f>+(63496641+598914289)/1000000</f>
        <v>662.41093000000001</v>
      </c>
      <c r="N37" s="67">
        <f t="shared" si="1"/>
        <v>4495.9773619999996</v>
      </c>
      <c r="O37" s="10"/>
    </row>
    <row r="38" spans="1:15" ht="10.9" customHeight="1" x14ac:dyDescent="0.2">
      <c r="A38" s="92" t="s">
        <v>149</v>
      </c>
      <c r="B38" s="93">
        <f>54587054/1000000</f>
        <v>54.587054000000002</v>
      </c>
      <c r="C38" s="67">
        <f>307532087/1000000</f>
        <v>307.53208699999999</v>
      </c>
      <c r="D38" s="67">
        <f>+(49685616+90708)/1000000</f>
        <v>49.776324000000002</v>
      </c>
      <c r="E38" s="67">
        <v>0</v>
      </c>
      <c r="F38" s="67">
        <f>+(13385090+79775230+123764895+661982+698367)/1000000</f>
        <v>218.28556399999999</v>
      </c>
      <c r="G38" s="67">
        <f>85733515/1000000</f>
        <v>85.733514999999997</v>
      </c>
      <c r="H38" s="67">
        <f t="shared" si="0"/>
        <v>715.91454399999998</v>
      </c>
      <c r="I38" s="67">
        <f>316409640/1000000</f>
        <v>316.40964000000002</v>
      </c>
      <c r="J38" s="67">
        <v>0</v>
      </c>
      <c r="K38" s="67">
        <f>116738755/1000000</f>
        <v>116.738755</v>
      </c>
      <c r="L38" s="67">
        <f>57061952/1000000</f>
        <v>57.061951999999998</v>
      </c>
      <c r="M38" s="67">
        <f>+(9630367+15817245+111223598+70006250+485868+2790318+15750552-1)/1000000</f>
        <v>225.70419699999999</v>
      </c>
      <c r="N38" s="67">
        <f t="shared" si="1"/>
        <v>715.91454400000009</v>
      </c>
      <c r="O38" s="10"/>
    </row>
    <row r="39" spans="1:15" ht="10.9" customHeight="1" x14ac:dyDescent="0.2">
      <c r="A39" s="92" t="s">
        <v>150</v>
      </c>
      <c r="B39" s="93">
        <f>2751273353/1000000</f>
        <v>2751.273353</v>
      </c>
      <c r="C39" s="67">
        <f>2314700000/1000000</f>
        <v>2314.6999999999998</v>
      </c>
      <c r="D39" s="67">
        <f>+(685890+136267880)/1000000</f>
        <v>136.95376999999999</v>
      </c>
      <c r="E39" s="67">
        <v>0</v>
      </c>
      <c r="F39" s="67">
        <f>+(342390013+7029069+1125393295+33521911+87032781+92864704)/1000000</f>
        <v>1688.231773</v>
      </c>
      <c r="G39" s="67">
        <f>1913342157/1000000</f>
        <v>1913.342157</v>
      </c>
      <c r="H39" s="67">
        <f t="shared" si="0"/>
        <v>8804.501053</v>
      </c>
      <c r="I39" s="67">
        <f>956009890/1000000</f>
        <v>956.00989000000004</v>
      </c>
      <c r="J39" s="67">
        <v>0</v>
      </c>
      <c r="K39" s="67">
        <f>4858082133/1000000</f>
        <v>4858.0821329999999</v>
      </c>
      <c r="L39" s="67">
        <f>540372387/1000000</f>
        <v>540.372387</v>
      </c>
      <c r="M39" s="67">
        <f>+(2990409030-540372387)/1000000</f>
        <v>2450.0366429999999</v>
      </c>
      <c r="N39" s="67">
        <f t="shared" si="1"/>
        <v>8804.501053</v>
      </c>
      <c r="O39" s="10"/>
    </row>
    <row r="40" spans="1:15" ht="10.9" customHeight="1" x14ac:dyDescent="0.2">
      <c r="A40" s="92" t="s">
        <v>151</v>
      </c>
      <c r="B40" s="93">
        <f>103671041/1000000</f>
        <v>103.671041</v>
      </c>
      <c r="C40" s="67">
        <f>+966430737/1000000</f>
        <v>966.43073700000002</v>
      </c>
      <c r="D40" s="67">
        <f>+(31133895+109175893)/1000000</f>
        <v>140.309788</v>
      </c>
      <c r="E40" s="67">
        <f>159190912/1000000</f>
        <v>159.190912</v>
      </c>
      <c r="F40" s="67">
        <f>+(63811561+37557599+68933768+1160146+381146560+668545)/1000000</f>
        <v>553.27817900000002</v>
      </c>
      <c r="G40" s="67">
        <f>423104038/1000000</f>
        <v>423.104038</v>
      </c>
      <c r="H40" s="67">
        <f t="shared" si="0"/>
        <v>2345.9846950000001</v>
      </c>
      <c r="I40" s="67">
        <f>696958290/1000000</f>
        <v>696.95829000000003</v>
      </c>
      <c r="J40" s="67">
        <f>212448120/1000000</f>
        <v>212.44811999999999</v>
      </c>
      <c r="K40" s="67">
        <f>+(484373550+222268978+18000000+71056501)/1000000</f>
        <v>795.699029</v>
      </c>
      <c r="L40" s="67">
        <f>206111499/1000000</f>
        <v>206.11149900000001</v>
      </c>
      <c r="M40" s="67">
        <f>+(20050946+64127599+48927374+301661839-1)/1000000</f>
        <v>434.76775700000002</v>
      </c>
      <c r="N40" s="67">
        <f t="shared" si="1"/>
        <v>2345.9846950000001</v>
      </c>
      <c r="O40" s="10"/>
    </row>
    <row r="41" spans="1:15" ht="10.9" customHeight="1" x14ac:dyDescent="0.2">
      <c r="A41" s="92" t="s">
        <v>205</v>
      </c>
      <c r="B41" s="93">
        <f>+(25000000+16659752)/1000000</f>
        <v>41.659751999999997</v>
      </c>
      <c r="C41" s="67">
        <f>393365850/1000000</f>
        <v>393.36585000000002</v>
      </c>
      <c r="D41" s="67">
        <f>29853149/1000000</f>
        <v>29.853148999999998</v>
      </c>
      <c r="E41" s="67">
        <f>288741023/1000000</f>
        <v>288.74102299999998</v>
      </c>
      <c r="F41" s="67">
        <f>+(447114+1482123+3850149+1762301+219331388+21988049)/1000000</f>
        <v>248.86112399999999</v>
      </c>
      <c r="G41" s="67">
        <f>52637337/1000000</f>
        <v>52.637337000000002</v>
      </c>
      <c r="H41" s="67">
        <f t="shared" si="0"/>
        <v>1055.1182349999999</v>
      </c>
      <c r="I41" s="67">
        <f>393986650/1000000</f>
        <v>393.98665</v>
      </c>
      <c r="J41" s="67">
        <v>0</v>
      </c>
      <c r="K41" s="67">
        <f>189801715/1000000</f>
        <v>189.801715</v>
      </c>
      <c r="L41" s="67">
        <f>148730136/1000000</f>
        <v>148.73013599999999</v>
      </c>
      <c r="M41" s="67">
        <f>+(20427182+302172552)/1000000</f>
        <v>322.59973400000001</v>
      </c>
      <c r="N41" s="67">
        <f t="shared" si="1"/>
        <v>1055.1182349999999</v>
      </c>
      <c r="O41" s="10"/>
    </row>
    <row r="42" spans="1:15" ht="10.9" customHeight="1" x14ac:dyDescent="0.2">
      <c r="A42" s="92" t="s">
        <v>152</v>
      </c>
      <c r="B42" s="93">
        <f>86845047/1000000</f>
        <v>86.845046999999994</v>
      </c>
      <c r="C42" s="67">
        <f>806518605/1000000</f>
        <v>806.51860499999998</v>
      </c>
      <c r="D42" s="67">
        <f>+(10079283+62329716)/1000000</f>
        <v>72.408998999999994</v>
      </c>
      <c r="E42" s="67">
        <v>0</v>
      </c>
      <c r="F42" s="67">
        <f>+(43191041+42051973+12797354+743842+25895326)/1000000</f>
        <v>124.679536</v>
      </c>
      <c r="G42" s="67">
        <f>31417066/1000000</f>
        <v>31.417065999999998</v>
      </c>
      <c r="H42" s="67">
        <f t="shared" si="0"/>
        <v>1121.8692530000001</v>
      </c>
      <c r="I42" s="67">
        <f>393605390/1000000</f>
        <v>393.60539</v>
      </c>
      <c r="J42" s="67">
        <v>0</v>
      </c>
      <c r="K42" s="67">
        <f>304985217/1000000</f>
        <v>304.98521699999998</v>
      </c>
      <c r="L42" s="67">
        <f>139655308/1000000</f>
        <v>139.65530799999999</v>
      </c>
      <c r="M42" s="67">
        <f>(32052621+153042000+29565653+67830925+1132139)/1000000</f>
        <v>283.62333799999999</v>
      </c>
      <c r="N42" s="67">
        <f t="shared" si="1"/>
        <v>1121.8692529999998</v>
      </c>
      <c r="O42" s="10"/>
    </row>
    <row r="43" spans="1:15" ht="10.9" customHeight="1" x14ac:dyDescent="0.2">
      <c r="A43" s="92" t="s">
        <v>153</v>
      </c>
      <c r="B43" s="93">
        <f>59840000/1000000</f>
        <v>59.84</v>
      </c>
      <c r="C43" s="67">
        <f>125128900/1000000</f>
        <v>125.1289</v>
      </c>
      <c r="D43" s="67">
        <f>+(7361915+133541)/1000000</f>
        <v>7.4954559999999999</v>
      </c>
      <c r="E43" s="67">
        <f>69538403/1000000</f>
        <v>69.538403000000002</v>
      </c>
      <c r="F43" s="67">
        <f>+(90096+49450+5473421+11367080)/1000000</f>
        <v>16.980046999999999</v>
      </c>
      <c r="G43" s="67">
        <f>6546139/1000000</f>
        <v>6.5461390000000002</v>
      </c>
      <c r="H43" s="67">
        <f t="shared" si="0"/>
        <v>285.52894500000002</v>
      </c>
      <c r="I43" s="67">
        <f>60000000/1000000</f>
        <v>60</v>
      </c>
      <c r="J43" s="67">
        <v>0</v>
      </c>
      <c r="K43" s="67">
        <f>141373312/1000000</f>
        <v>141.373312</v>
      </c>
      <c r="L43" s="67">
        <f>12713187/1000000</f>
        <v>12.713187</v>
      </c>
      <c r="M43" s="67">
        <f>+(2197944+69244502)/1000000</f>
        <v>71.442446000000004</v>
      </c>
      <c r="N43" s="67">
        <f t="shared" si="1"/>
        <v>285.52894500000002</v>
      </c>
      <c r="O43" s="10"/>
    </row>
    <row r="44" spans="1:15" ht="10.9" customHeight="1" x14ac:dyDescent="0.2">
      <c r="A44" s="92" t="s">
        <v>154</v>
      </c>
      <c r="B44" s="93">
        <f>118531742/1000000</f>
        <v>118.53174199999999</v>
      </c>
      <c r="C44" s="67">
        <f>261053790/1000000</f>
        <v>261.05378999999999</v>
      </c>
      <c r="D44" s="67">
        <f>+(278475585-261053790)/1000000</f>
        <v>17.421794999999999</v>
      </c>
      <c r="E44" s="67">
        <f>334220533/1000000</f>
        <v>334.22053299999999</v>
      </c>
      <c r="F44" s="67">
        <f>(8671979+105956363+2310593)/1000000</f>
        <v>116.938935</v>
      </c>
      <c r="G44" s="67">
        <f>59242381/1000000</f>
        <v>59.242381000000002</v>
      </c>
      <c r="H44" s="67">
        <f t="shared" si="0"/>
        <v>907.409176</v>
      </c>
      <c r="I44" s="67">
        <f>377749490/1000000</f>
        <v>377.74948999999998</v>
      </c>
      <c r="J44" s="67">
        <v>0</v>
      </c>
      <c r="K44" s="67">
        <f>278183538/1000000</f>
        <v>278.183538</v>
      </c>
      <c r="L44" s="67">
        <f>135068704/1000000</f>
        <v>135.068704</v>
      </c>
      <c r="M44" s="67">
        <f>+(5009297+111398147)/1000000</f>
        <v>116.407444</v>
      </c>
      <c r="N44" s="67">
        <f t="shared" si="1"/>
        <v>907.40917599999989</v>
      </c>
      <c r="O44" s="10"/>
    </row>
    <row r="45" spans="1:15" ht="10.9" customHeight="1" x14ac:dyDescent="0.2">
      <c r="A45" s="92" t="s">
        <v>155</v>
      </c>
      <c r="B45" s="93">
        <f>1093916834/1000000</f>
        <v>1093.9168340000001</v>
      </c>
      <c r="C45" s="67">
        <f>177000000/1000000</f>
        <v>177</v>
      </c>
      <c r="D45" s="67">
        <f>+(10580+45178378)/1000000</f>
        <v>45.188958</v>
      </c>
      <c r="E45" s="67">
        <f>16527214/1000000</f>
        <v>16.527214000000001</v>
      </c>
      <c r="F45" s="67">
        <f>+(3141731+29502090+1064003+926270)/1000000</f>
        <v>34.634093999999997</v>
      </c>
      <c r="G45" s="67">
        <f>20376388/1000000</f>
        <v>20.376387999999999</v>
      </c>
      <c r="H45" s="67">
        <f t="shared" si="0"/>
        <v>1387.6434879999999</v>
      </c>
      <c r="I45" s="67">
        <f>240000000/1000000</f>
        <v>240</v>
      </c>
      <c r="J45" s="67">
        <v>0</v>
      </c>
      <c r="K45" s="67">
        <f>91692567/1000000</f>
        <v>91.692566999999997</v>
      </c>
      <c r="L45" s="67">
        <f>62220852/1000000</f>
        <v>62.220852000000001</v>
      </c>
      <c r="M45" s="67">
        <f>+(2500414+910788385+80441269+1)/1000000</f>
        <v>993.73006899999996</v>
      </c>
      <c r="N45" s="67">
        <f t="shared" si="1"/>
        <v>1387.6434879999999</v>
      </c>
      <c r="O45" s="10"/>
    </row>
    <row r="46" spans="1:15" ht="10.9" customHeight="1" x14ac:dyDescent="0.2">
      <c r="A46" s="92" t="s">
        <v>156</v>
      </c>
      <c r="B46" s="93">
        <f>(26500000+3712219)/1000000</f>
        <v>30.212219000000001</v>
      </c>
      <c r="C46" s="67">
        <f>370400000/1000000</f>
        <v>370.4</v>
      </c>
      <c r="D46" s="67">
        <f>+(418231283-370400000)/1000000</f>
        <v>47.831282999999999</v>
      </c>
      <c r="E46" s="67">
        <f>16600836/1000000</f>
        <v>16.600836000000001</v>
      </c>
      <c r="F46" s="67">
        <f>+(13769797+675047+317200+146536)/1000000</f>
        <v>14.908580000000001</v>
      </c>
      <c r="G46" s="67">
        <f>8756919/1000000</f>
        <v>8.7569189999999999</v>
      </c>
      <c r="H46" s="67">
        <f t="shared" si="0"/>
        <v>488.70983699999994</v>
      </c>
      <c r="I46" s="67">
        <f>240000000/1000000</f>
        <v>240</v>
      </c>
      <c r="J46" s="67">
        <v>0</v>
      </c>
      <c r="K46" s="67">
        <f>+(82131407+14295589)/1000000</f>
        <v>96.426996000000003</v>
      </c>
      <c r="L46" s="67">
        <f>66099171/1000000</f>
        <v>66.099170999999998</v>
      </c>
      <c r="M46" s="67">
        <f>+(25844526+25632623+2829557+31876964)/1000000</f>
        <v>86.183670000000006</v>
      </c>
      <c r="N46" s="67">
        <f t="shared" si="1"/>
        <v>488.70983700000005</v>
      </c>
      <c r="O46" s="10"/>
    </row>
    <row r="47" spans="1:15" ht="10.9" customHeight="1" x14ac:dyDescent="0.2">
      <c r="A47" s="92" t="s">
        <v>157</v>
      </c>
      <c r="B47" s="93">
        <f>204937044/1000000</f>
        <v>204.93704399999999</v>
      </c>
      <c r="C47" s="67">
        <f>563850000/1000000</f>
        <v>563.85</v>
      </c>
      <c r="D47" s="67">
        <f>+(612653010-563850000)/1000000</f>
        <v>48.80301</v>
      </c>
      <c r="E47" s="67">
        <f>101881692/1000000</f>
        <v>101.881692</v>
      </c>
      <c r="F47" s="67">
        <f>+(7996321+52220556+520000+1164205)/1000000</f>
        <v>61.901082000000002</v>
      </c>
      <c r="G47" s="67">
        <f>19883448/1000000</f>
        <v>19.883448000000001</v>
      </c>
      <c r="H47" s="67">
        <f t="shared" si="0"/>
        <v>1001.2562760000001</v>
      </c>
      <c r="I47" s="67">
        <f>401763930/1000000</f>
        <v>401.76393000000002</v>
      </c>
      <c r="J47" s="67">
        <v>0</v>
      </c>
      <c r="K47" s="67">
        <f>281955035/1000000</f>
        <v>281.95503500000001</v>
      </c>
      <c r="L47" s="67">
        <f>86258278/1000000</f>
        <v>86.258278000000004</v>
      </c>
      <c r="M47" s="67">
        <f>+(12047973+219231060)/1000000</f>
        <v>231.279033</v>
      </c>
      <c r="N47" s="67">
        <f t="shared" si="1"/>
        <v>1001.2562760000001</v>
      </c>
      <c r="O47" s="10"/>
    </row>
    <row r="48" spans="1:15" ht="10.9" customHeight="1" x14ac:dyDescent="0.2">
      <c r="A48" s="92" t="s">
        <v>158</v>
      </c>
      <c r="B48" s="93">
        <f>25000000/1000000</f>
        <v>25</v>
      </c>
      <c r="C48" s="67">
        <f>406649093/1000000</f>
        <v>406.64909299999999</v>
      </c>
      <c r="D48" s="67">
        <f>+(1768492+73526998)/1000000</f>
        <v>75.295490000000001</v>
      </c>
      <c r="E48" s="67">
        <f>26738797/1000000</f>
        <v>26.738797000000002</v>
      </c>
      <c r="F48" s="67">
        <f>+(28768883+660679538+4094510+45099623+12150404+223942116+1018237)/1000000</f>
        <v>975.75331100000005</v>
      </c>
      <c r="G48" s="67">
        <f>143047673/1000000</f>
        <v>143.047673</v>
      </c>
      <c r="H48" s="67">
        <f t="shared" si="0"/>
        <v>1652.4843639999999</v>
      </c>
      <c r="I48" s="67">
        <f>420000000/1000000</f>
        <v>420</v>
      </c>
      <c r="J48" s="67">
        <v>0</v>
      </c>
      <c r="K48" s="67">
        <f>+((336516557+100350000+527135454)/1000000)</f>
        <v>964.00201100000004</v>
      </c>
      <c r="L48" s="67">
        <f>113062028/1000000</f>
        <v>113.062028</v>
      </c>
      <c r="M48" s="67">
        <f>+(24320328+25716887+41563620+49660040+9591761+4567689)/1000000</f>
        <v>155.42032499999999</v>
      </c>
      <c r="N48" s="67">
        <f t="shared" si="1"/>
        <v>1652.4843640000001</v>
      </c>
      <c r="O48" s="10"/>
    </row>
    <row r="49" spans="1:15" ht="10.9" customHeight="1" x14ac:dyDescent="0.2">
      <c r="A49" s="92" t="s">
        <v>159</v>
      </c>
      <c r="B49" s="93">
        <f>25000000/1000000</f>
        <v>25</v>
      </c>
      <c r="C49" s="67">
        <f>87038171/1000000</f>
        <v>87.038171000000006</v>
      </c>
      <c r="D49" s="67">
        <f>72586495/1000000</f>
        <v>72.586494999999999</v>
      </c>
      <c r="E49" s="67">
        <f>210100381/1000000</f>
        <v>210.100381</v>
      </c>
      <c r="F49" s="67">
        <f>+(150382672+975760)/1000000</f>
        <v>151.35843199999999</v>
      </c>
      <c r="G49" s="67">
        <f>202677492/1000000</f>
        <v>202.677492</v>
      </c>
      <c r="H49" s="67">
        <f t="shared" si="0"/>
        <v>748.76097100000004</v>
      </c>
      <c r="I49" s="67">
        <f>192406500/1000000</f>
        <v>192.40649999999999</v>
      </c>
      <c r="J49" s="67">
        <v>0</v>
      </c>
      <c r="K49" s="67">
        <f>242341757/1000000</f>
        <v>242.341757</v>
      </c>
      <c r="L49" s="67">
        <f>126486287/1000000</f>
        <v>126.486287</v>
      </c>
      <c r="M49" s="67">
        <f>+(1446919+186079508)/1000000</f>
        <v>187.52642700000001</v>
      </c>
      <c r="N49" s="67">
        <f t="shared" si="1"/>
        <v>748.76097099999993</v>
      </c>
      <c r="O49" s="10"/>
    </row>
    <row r="50" spans="1:15" ht="10.9" customHeight="1" x14ac:dyDescent="0.2">
      <c r="A50" s="95" t="s">
        <v>87</v>
      </c>
      <c r="B50" s="84">
        <f t="shared" ref="B50:N50" si="2">SUM(B5:B49)</f>
        <v>15491.423338000001</v>
      </c>
      <c r="C50" s="84">
        <f t="shared" si="2"/>
        <v>22544.867622999998</v>
      </c>
      <c r="D50" s="84">
        <f t="shared" si="2"/>
        <v>3683.1503540000012</v>
      </c>
      <c r="E50" s="84">
        <f t="shared" si="2"/>
        <v>7925.3023179999991</v>
      </c>
      <c r="F50" s="84">
        <f t="shared" si="2"/>
        <v>16117.772488999995</v>
      </c>
      <c r="G50" s="84">
        <f t="shared" si="2"/>
        <v>14011.146532000001</v>
      </c>
      <c r="H50" s="84">
        <f>SUM(H5:H49)</f>
        <v>79773.662654</v>
      </c>
      <c r="I50" s="84">
        <f t="shared" si="2"/>
        <v>18893.509683000004</v>
      </c>
      <c r="J50" s="84">
        <f t="shared" si="2"/>
        <v>2008.3249049999999</v>
      </c>
      <c r="K50" s="84">
        <f t="shared" si="2"/>
        <v>28507.772101999992</v>
      </c>
      <c r="L50" s="84">
        <f t="shared" si="2"/>
        <v>6906.5863590000008</v>
      </c>
      <c r="M50" s="84">
        <f t="shared" si="2"/>
        <v>23457.469605000002</v>
      </c>
      <c r="N50" s="84">
        <f t="shared" si="2"/>
        <v>79773.662654</v>
      </c>
      <c r="O50" s="10"/>
    </row>
    <row r="51" spans="1:15" ht="10.9" customHeight="1" x14ac:dyDescent="0.2">
      <c r="A51" s="92" t="s">
        <v>160</v>
      </c>
      <c r="B51" s="93">
        <f>(15394499115-10212359386-658326004)/1000000</f>
        <v>4523.813725</v>
      </c>
      <c r="C51" s="67">
        <f>10212359386/1000000</f>
        <v>10212.359386</v>
      </c>
      <c r="D51" s="67">
        <f>2398600984/1000000</f>
        <v>2398.6009840000002</v>
      </c>
      <c r="E51" s="67">
        <f>376761092/1000000</f>
        <v>376.76109200000002</v>
      </c>
      <c r="F51" s="67">
        <f>+(589844880+484749053+797113205+8002054694+6271259+1244157+1226226+5116928598)/1000000</f>
        <v>14999.432072</v>
      </c>
      <c r="G51" s="67">
        <f>+(658326004+117764383)/1000000</f>
        <v>776.09038699999996</v>
      </c>
      <c r="H51" s="67">
        <f>+SUM(B51:G51)</f>
        <v>33287.057646000001</v>
      </c>
      <c r="I51" s="67">
        <f>100000000/1000000</f>
        <v>100</v>
      </c>
      <c r="J51" s="67">
        <v>0</v>
      </c>
      <c r="K51" s="67">
        <f>17099357438/1000000</f>
        <v>17099.357437999999</v>
      </c>
      <c r="L51" s="67">
        <f>3180212859/1000000</f>
        <v>3180.2128590000002</v>
      </c>
      <c r="M51" s="67">
        <f>+(410900114+907960955+4080129135+1491208921+6017288225-1)/1000000</f>
        <v>12907.487349000001</v>
      </c>
      <c r="N51" s="67">
        <f>+SUM(I51:M51)</f>
        <v>33287.057646000001</v>
      </c>
      <c r="O51" s="10"/>
    </row>
    <row r="52" spans="1:15" ht="10.9" customHeight="1" x14ac:dyDescent="0.2">
      <c r="A52" s="95" t="s">
        <v>89</v>
      </c>
      <c r="B52" s="84">
        <f>+B50+B51</f>
        <v>20015.237063</v>
      </c>
      <c r="C52" s="84">
        <f t="shared" ref="C52:N52" si="3">+C50+C51</f>
        <v>32757.227008999998</v>
      </c>
      <c r="D52" s="84">
        <f t="shared" si="3"/>
        <v>6081.7513380000019</v>
      </c>
      <c r="E52" s="84">
        <f t="shared" si="3"/>
        <v>8302.0634099999988</v>
      </c>
      <c r="F52" s="84">
        <f t="shared" si="3"/>
        <v>31117.204560999995</v>
      </c>
      <c r="G52" s="84">
        <f t="shared" si="3"/>
        <v>14787.236919000001</v>
      </c>
      <c r="H52" s="84">
        <f t="shared" si="3"/>
        <v>113060.7203</v>
      </c>
      <c r="I52" s="84">
        <f t="shared" si="3"/>
        <v>18993.509683000004</v>
      </c>
      <c r="J52" s="84">
        <f t="shared" si="3"/>
        <v>2008.3249049999999</v>
      </c>
      <c r="K52" s="84">
        <f t="shared" si="3"/>
        <v>45607.129539999994</v>
      </c>
      <c r="L52" s="84">
        <f t="shared" si="3"/>
        <v>10086.799218</v>
      </c>
      <c r="M52" s="84">
        <f t="shared" si="3"/>
        <v>36364.956954000001</v>
      </c>
      <c r="N52" s="84">
        <f t="shared" si="3"/>
        <v>113060.7203</v>
      </c>
      <c r="O52" s="10"/>
    </row>
  </sheetData>
  <mergeCells count="5">
    <mergeCell ref="M2:N2"/>
    <mergeCell ref="A3:A4"/>
    <mergeCell ref="B3:H3"/>
    <mergeCell ref="I3:N3"/>
    <mergeCell ref="A1:N1"/>
  </mergeCells>
  <pageMargins left="0.05" right="0.03" top="0.2" bottom="0.1" header="0.3" footer="0.3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A8" sqref="A8"/>
    </sheetView>
  </sheetViews>
  <sheetFormatPr defaultRowHeight="12.75" x14ac:dyDescent="0.2"/>
  <cols>
    <col min="1" max="1" width="26.28515625" style="4" customWidth="1"/>
    <col min="2" max="3" width="13" style="4" customWidth="1"/>
    <col min="4" max="4" width="11.140625" style="4" customWidth="1"/>
    <col min="5" max="5" width="11.7109375" style="4" customWidth="1"/>
    <col min="6" max="6" width="12.28515625" style="4" customWidth="1"/>
    <col min="7" max="7" width="11.140625" style="4" customWidth="1"/>
    <col min="8" max="8" width="10" style="4" customWidth="1"/>
    <col min="9" max="9" width="10.28515625" style="4" customWidth="1"/>
    <col min="10" max="10" width="12" style="4" customWidth="1"/>
    <col min="11" max="11" width="11.42578125" style="4" customWidth="1"/>
    <col min="12" max="16384" width="9.140625" style="4"/>
  </cols>
  <sheetData>
    <row r="1" spans="1:12" x14ac:dyDescent="0.2">
      <c r="A1" s="141" t="s">
        <v>226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2" ht="10.15" customHeight="1" x14ac:dyDescent="0.2">
      <c r="A2" s="78"/>
      <c r="B2" s="77"/>
      <c r="C2" s="77"/>
      <c r="D2" s="77"/>
      <c r="E2" s="77"/>
      <c r="F2" s="77"/>
      <c r="G2" s="77"/>
      <c r="H2" s="77"/>
      <c r="I2" s="77"/>
      <c r="J2" s="143" t="s">
        <v>0</v>
      </c>
      <c r="K2" s="143"/>
    </row>
    <row r="3" spans="1:12" ht="12" customHeight="1" x14ac:dyDescent="0.2">
      <c r="A3" s="137" t="s">
        <v>234</v>
      </c>
      <c r="B3" s="136" t="s">
        <v>95</v>
      </c>
      <c r="C3" s="136"/>
      <c r="D3" s="136"/>
      <c r="E3" s="136"/>
      <c r="F3" s="136"/>
      <c r="G3" s="136"/>
      <c r="H3" s="136" t="s">
        <v>96</v>
      </c>
      <c r="I3" s="136"/>
      <c r="J3" s="136"/>
      <c r="K3" s="136"/>
    </row>
    <row r="4" spans="1:12" ht="45" customHeight="1" x14ac:dyDescent="0.2">
      <c r="A4" s="137"/>
      <c r="B4" s="65" t="s">
        <v>162</v>
      </c>
      <c r="C4" s="65" t="s">
        <v>163</v>
      </c>
      <c r="D4" s="65" t="s">
        <v>54</v>
      </c>
      <c r="E4" s="65" t="s">
        <v>164</v>
      </c>
      <c r="F4" s="65" t="s">
        <v>56</v>
      </c>
      <c r="G4" s="65" t="s">
        <v>97</v>
      </c>
      <c r="H4" s="65" t="s">
        <v>165</v>
      </c>
      <c r="I4" s="65" t="s">
        <v>9</v>
      </c>
      <c r="J4" s="65" t="s">
        <v>166</v>
      </c>
      <c r="K4" s="65" t="s">
        <v>19</v>
      </c>
    </row>
    <row r="5" spans="1:12" ht="11.65" customHeight="1" x14ac:dyDescent="0.2">
      <c r="A5" s="92" t="s">
        <v>116</v>
      </c>
      <c r="B5" s="67">
        <f>48840366/1000000</f>
        <v>48.840366000000003</v>
      </c>
      <c r="C5" s="67">
        <f>66003504/1000000</f>
        <v>66.003504000000007</v>
      </c>
      <c r="D5" s="67">
        <f>47424000/1000000</f>
        <v>47.423999999999999</v>
      </c>
      <c r="E5" s="67">
        <f>82408681/1000000</f>
        <v>82.408681000000001</v>
      </c>
      <c r="F5" s="67">
        <f>50698031/1000000</f>
        <v>50.698031</v>
      </c>
      <c r="G5" s="67">
        <f>SUM(B5:F5)</f>
        <v>295.37458200000003</v>
      </c>
      <c r="H5" s="67">
        <f>71389632/1000000</f>
        <v>71.389632000000006</v>
      </c>
      <c r="I5" s="67">
        <f>198952487/1000000</f>
        <v>198.95248699999999</v>
      </c>
      <c r="J5" s="67">
        <f>25032463/1000000</f>
        <v>25.032463</v>
      </c>
      <c r="K5" s="67">
        <f>+SUM(H5:J5)</f>
        <v>295.37458200000003</v>
      </c>
      <c r="L5" s="5"/>
    </row>
    <row r="6" spans="1:12" ht="11.65" customHeight="1" x14ac:dyDescent="0.2">
      <c r="A6" s="92" t="s">
        <v>117</v>
      </c>
      <c r="B6" s="67">
        <f>116733175/1000000</f>
        <v>116.733175</v>
      </c>
      <c r="C6" s="67">
        <f>+(143577585+393626)/1000000</f>
        <v>143.97121100000001</v>
      </c>
      <c r="D6" s="67">
        <f>90962371/1000000</f>
        <v>90.962371000000005</v>
      </c>
      <c r="E6" s="67">
        <f>169256193/1000000</f>
        <v>169.256193</v>
      </c>
      <c r="F6" s="67">
        <f>96622817/1000000</f>
        <v>96.622816999999998</v>
      </c>
      <c r="G6" s="67">
        <f t="shared" ref="G6:G51" si="0">SUM(B6:F6)</f>
        <v>617.54576700000007</v>
      </c>
      <c r="H6" s="67">
        <f>136838758/1000000</f>
        <v>136.83875800000001</v>
      </c>
      <c r="I6" s="67">
        <f>422237443/1000000</f>
        <v>422.23744299999998</v>
      </c>
      <c r="J6" s="67">
        <f>+(49025751+9443815)/1000000</f>
        <v>58.469566</v>
      </c>
      <c r="K6" s="67">
        <f t="shared" ref="K6:K49" si="1">+SUM(H6:J6)</f>
        <v>617.54576699999996</v>
      </c>
      <c r="L6" s="5"/>
    </row>
    <row r="7" spans="1:12" ht="11.65" customHeight="1" x14ac:dyDescent="0.2">
      <c r="A7" s="94" t="s">
        <v>118</v>
      </c>
      <c r="B7" s="67">
        <f>111052478/1000000</f>
        <v>111.05247799999999</v>
      </c>
      <c r="C7" s="67">
        <f>(84314553+367267)/1000000</f>
        <v>84.681820000000002</v>
      </c>
      <c r="D7" s="67">
        <f>78965618/1000000</f>
        <v>78.965618000000006</v>
      </c>
      <c r="E7" s="67">
        <f>134220323/1000000</f>
        <v>134.22032300000001</v>
      </c>
      <c r="F7" s="67">
        <f>71981691/1000000</f>
        <v>71.981690999999998</v>
      </c>
      <c r="G7" s="67">
        <f t="shared" si="0"/>
        <v>480.90193000000005</v>
      </c>
      <c r="H7" s="67">
        <f>113161762/1000000</f>
        <v>113.161762</v>
      </c>
      <c r="I7" s="67">
        <f>334434578/1000000</f>
        <v>334.43457799999999</v>
      </c>
      <c r="J7" s="67">
        <f>+(32908012+397578)/1000000</f>
        <v>33.305590000000002</v>
      </c>
      <c r="K7" s="67">
        <f t="shared" si="1"/>
        <v>480.90192999999999</v>
      </c>
      <c r="L7" s="5"/>
    </row>
    <row r="8" spans="1:12" ht="11.65" customHeight="1" x14ac:dyDescent="0.2">
      <c r="A8" s="92" t="s">
        <v>119</v>
      </c>
      <c r="B8" s="67">
        <f>112764254/1000000</f>
        <v>112.76425399999999</v>
      </c>
      <c r="C8" s="67">
        <f>235387584/1000000</f>
        <v>235.387584</v>
      </c>
      <c r="D8" s="67">
        <f>84438002/1000000</f>
        <v>84.438001999999997</v>
      </c>
      <c r="E8" s="67">
        <f>135848256/1000000</f>
        <v>135.84825599999999</v>
      </c>
      <c r="F8" s="67">
        <f>28261644/1000000</f>
        <v>28.261644</v>
      </c>
      <c r="G8" s="67">
        <f t="shared" si="0"/>
        <v>596.69974000000002</v>
      </c>
      <c r="H8" s="67">
        <f>181325601/1000000</f>
        <v>181.32560100000001</v>
      </c>
      <c r="I8" s="67">
        <f>337493412/1000000</f>
        <v>337.49341199999998</v>
      </c>
      <c r="J8" s="67">
        <f>77880727/1000000</f>
        <v>77.880726999999993</v>
      </c>
      <c r="K8" s="67">
        <f t="shared" si="1"/>
        <v>596.69974000000002</v>
      </c>
      <c r="L8" s="5"/>
    </row>
    <row r="9" spans="1:12" ht="11.65" customHeight="1" x14ac:dyDescent="0.2">
      <c r="A9" s="92" t="s">
        <v>120</v>
      </c>
      <c r="B9" s="67">
        <f>8002620/1000000</f>
        <v>8.0026200000000003</v>
      </c>
      <c r="C9" s="67">
        <f>+(64717931+47337)/1000000</f>
        <v>64.765268000000006</v>
      </c>
      <c r="D9" s="67">
        <f>8197166/1000000</f>
        <v>8.1971659999999993</v>
      </c>
      <c r="E9" s="67">
        <f>29899248/1000000</f>
        <v>29.899248</v>
      </c>
      <c r="F9" s="67">
        <f>9935577/1000000</f>
        <v>9.9355770000000003</v>
      </c>
      <c r="G9" s="67">
        <f t="shared" si="0"/>
        <v>120.79987899999999</v>
      </c>
      <c r="H9" s="67">
        <f>36994275/1000000</f>
        <v>36.994275000000002</v>
      </c>
      <c r="I9" s="67">
        <f>74261001/1000000</f>
        <v>74.261000999999993</v>
      </c>
      <c r="J9" s="67">
        <f>9544603/1000000</f>
        <v>9.5446030000000004</v>
      </c>
      <c r="K9" s="67">
        <f t="shared" si="1"/>
        <v>120.79987899999999</v>
      </c>
      <c r="L9" s="5"/>
    </row>
    <row r="10" spans="1:12" ht="11.65" customHeight="1" x14ac:dyDescent="0.2">
      <c r="A10" s="92" t="s">
        <v>121</v>
      </c>
      <c r="B10" s="67">
        <f>180910897/1000000</f>
        <v>180.91089700000001</v>
      </c>
      <c r="C10" s="67">
        <f>98637389/1000000</f>
        <v>98.637388999999999</v>
      </c>
      <c r="D10" s="67">
        <f>65258670/1000000</f>
        <v>65.258669999999995</v>
      </c>
      <c r="E10" s="67">
        <f>149916876/1000000</f>
        <v>149.916876</v>
      </c>
      <c r="F10" s="67">
        <f>62929185/1000000</f>
        <v>62.929184999999997</v>
      </c>
      <c r="G10" s="67">
        <f>SUM(B10:F10)</f>
        <v>557.65301699999998</v>
      </c>
      <c r="H10" s="67">
        <f>150360197/1000000</f>
        <v>150.360197</v>
      </c>
      <c r="I10" s="67">
        <f>372023643/1000000</f>
        <v>372.02364299999999</v>
      </c>
      <c r="J10" s="67">
        <f>35269178/1000000</f>
        <v>35.269177999999997</v>
      </c>
      <c r="K10" s="67">
        <f t="shared" si="1"/>
        <v>557.65301799999997</v>
      </c>
      <c r="L10" s="5"/>
    </row>
    <row r="11" spans="1:12" ht="11.65" customHeight="1" x14ac:dyDescent="0.2">
      <c r="A11" s="92" t="s">
        <v>122</v>
      </c>
      <c r="B11" s="67">
        <f>31952291/1000000</f>
        <v>31.952290999999999</v>
      </c>
      <c r="C11" s="67">
        <f>133325529/1000000</f>
        <v>133.32552899999999</v>
      </c>
      <c r="D11" s="67">
        <f>45045282/1000000</f>
        <v>45.045282</v>
      </c>
      <c r="E11" s="67">
        <f>97682447/1000000</f>
        <v>97.682446999999996</v>
      </c>
      <c r="F11" s="67">
        <f>52413670/1000000</f>
        <v>52.413670000000003</v>
      </c>
      <c r="G11" s="67">
        <f t="shared" si="0"/>
        <v>360.419219</v>
      </c>
      <c r="H11" s="67">
        <f>97211979/1000000</f>
        <v>97.211978999999999</v>
      </c>
      <c r="I11" s="67">
        <f>243201331/1000000</f>
        <v>243.20133100000001</v>
      </c>
      <c r="J11" s="67">
        <f>20005909/1000000</f>
        <v>20.005908999999999</v>
      </c>
      <c r="K11" s="67">
        <f t="shared" si="1"/>
        <v>360.419219</v>
      </c>
      <c r="L11" s="5"/>
    </row>
    <row r="12" spans="1:12" ht="11.65" customHeight="1" x14ac:dyDescent="0.2">
      <c r="A12" s="92" t="s">
        <v>123</v>
      </c>
      <c r="B12" s="67">
        <f>68729814/1000000</f>
        <v>68.729814000000005</v>
      </c>
      <c r="C12" s="67">
        <f>(127395735+1433717)/1000000</f>
        <v>128.829452</v>
      </c>
      <c r="D12" s="67">
        <f>55304287/1000000</f>
        <v>55.304287000000002</v>
      </c>
      <c r="E12" s="67">
        <f>118354171/1000000</f>
        <v>118.35417099999999</v>
      </c>
      <c r="F12" s="67">
        <f>80942648/1000000</f>
        <v>80.942648000000005</v>
      </c>
      <c r="G12" s="67">
        <f t="shared" si="0"/>
        <v>452.16037200000005</v>
      </c>
      <c r="H12" s="67">
        <f>121373222/1000000</f>
        <v>121.373222</v>
      </c>
      <c r="I12" s="67">
        <f>295628630/1000000</f>
        <v>295.62862999999999</v>
      </c>
      <c r="J12" s="67">
        <f>+(30141760+5016760)/1000000</f>
        <v>35.158520000000003</v>
      </c>
      <c r="K12" s="67">
        <f t="shared" si="1"/>
        <v>452.160372</v>
      </c>
      <c r="L12" s="5"/>
    </row>
    <row r="13" spans="1:12" ht="11.65" customHeight="1" x14ac:dyDescent="0.2">
      <c r="A13" s="92" t="s">
        <v>124</v>
      </c>
      <c r="B13" s="67">
        <f>41941882/1000000</f>
        <v>41.941882</v>
      </c>
      <c r="C13" s="67">
        <f>152306281/1000000</f>
        <v>152.30628100000001</v>
      </c>
      <c r="D13" s="67">
        <f>80238178/1000000</f>
        <v>80.238178000000005</v>
      </c>
      <c r="E13" s="67">
        <f>130207373/1000000</f>
        <v>130.20737299999999</v>
      </c>
      <c r="F13" s="67">
        <f>98844535/1000000</f>
        <v>98.844534999999993</v>
      </c>
      <c r="G13" s="67">
        <f t="shared" si="0"/>
        <v>503.53824900000001</v>
      </c>
      <c r="H13" s="67">
        <f>120518991/1000000</f>
        <v>120.518991</v>
      </c>
      <c r="I13" s="67">
        <f>322395536/1000000</f>
        <v>322.39553599999999</v>
      </c>
      <c r="J13" s="67">
        <f>60623722/1000000</f>
        <v>60.623722000000001</v>
      </c>
      <c r="K13" s="67">
        <f t="shared" si="1"/>
        <v>503.53824900000001</v>
      </c>
      <c r="L13" s="5"/>
    </row>
    <row r="14" spans="1:12" ht="11.65" customHeight="1" x14ac:dyDescent="0.2">
      <c r="A14" s="92" t="s">
        <v>125</v>
      </c>
      <c r="B14" s="67">
        <f>111759341/1000000</f>
        <v>111.75934100000001</v>
      </c>
      <c r="C14" s="67">
        <f>+(99875095+3867)/1000000</f>
        <v>99.878962000000001</v>
      </c>
      <c r="D14" s="67">
        <f>56257734/1000000</f>
        <v>56.257733999999999</v>
      </c>
      <c r="E14" s="67">
        <f>122231476/1000000</f>
        <v>122.231476</v>
      </c>
      <c r="F14" s="67">
        <f>65000849/1000000</f>
        <v>65.000849000000002</v>
      </c>
      <c r="G14" s="67">
        <f t="shared" si="0"/>
        <v>455.12836199999998</v>
      </c>
      <c r="H14" s="67">
        <f>120581415/1000000</f>
        <v>120.58141500000001</v>
      </c>
      <c r="I14" s="67">
        <f>302648856/1000000</f>
        <v>302.64885600000002</v>
      </c>
      <c r="J14" s="67">
        <f>31898091/1000000</f>
        <v>31.898091000000001</v>
      </c>
      <c r="K14" s="67">
        <f t="shared" si="1"/>
        <v>455.12836200000004</v>
      </c>
      <c r="L14" s="5"/>
    </row>
    <row r="15" spans="1:12" ht="11.65" customHeight="1" x14ac:dyDescent="0.2">
      <c r="A15" s="92" t="s">
        <v>126</v>
      </c>
      <c r="B15" s="67">
        <f>3299957/1000000</f>
        <v>3.299957</v>
      </c>
      <c r="C15" s="67">
        <f>103195794/1000000</f>
        <v>103.19579400000001</v>
      </c>
      <c r="D15" s="67">
        <f>38981927/1000000</f>
        <v>38.981926999999999</v>
      </c>
      <c r="E15" s="67">
        <f>83421012/1000000</f>
        <v>83.421012000000005</v>
      </c>
      <c r="F15" s="67">
        <f>81357156/1000000</f>
        <v>81.357156000000003</v>
      </c>
      <c r="G15" s="67">
        <f t="shared" si="0"/>
        <v>310.25584600000002</v>
      </c>
      <c r="H15" s="67">
        <f>77479409/1000000</f>
        <v>77.479409000000004</v>
      </c>
      <c r="I15" s="67">
        <f>208219560/1000000</f>
        <v>208.21956</v>
      </c>
      <c r="J15" s="67">
        <f>24556877/1000000</f>
        <v>24.556877</v>
      </c>
      <c r="K15" s="67">
        <f t="shared" si="1"/>
        <v>310.25584600000002</v>
      </c>
      <c r="L15" s="5"/>
    </row>
    <row r="16" spans="1:12" ht="11.65" customHeight="1" x14ac:dyDescent="0.2">
      <c r="A16" s="92" t="s">
        <v>127</v>
      </c>
      <c r="B16" s="67">
        <f>37950383/1000000</f>
        <v>37.950383000000002</v>
      </c>
      <c r="C16" s="67">
        <f>+(44972377+3867)/1000000</f>
        <v>44.976244000000001</v>
      </c>
      <c r="D16" s="67">
        <f>20481715/1000000</f>
        <v>20.481715000000001</v>
      </c>
      <c r="E16" s="67">
        <f>41020610/1000000</f>
        <v>41.020609999999998</v>
      </c>
      <c r="F16" s="67">
        <f>48306881/1000000</f>
        <v>48.306880999999997</v>
      </c>
      <c r="G16" s="67">
        <f t="shared" si="0"/>
        <v>192.73583300000001</v>
      </c>
      <c r="H16" s="67">
        <f>36046596/1000000</f>
        <v>36.046596000000001</v>
      </c>
      <c r="I16" s="67">
        <f>102216711/1000000</f>
        <v>102.216711</v>
      </c>
      <c r="J16" s="67">
        <f>+(21650480+526689+32295358)/1000000</f>
        <v>54.472526999999999</v>
      </c>
      <c r="K16" s="67">
        <f t="shared" si="1"/>
        <v>192.73583400000001</v>
      </c>
      <c r="L16" s="5"/>
    </row>
    <row r="17" spans="1:14" ht="11.65" customHeight="1" x14ac:dyDescent="0.2">
      <c r="A17" s="92" t="s">
        <v>128</v>
      </c>
      <c r="B17" s="67">
        <f>33635563/1000000</f>
        <v>33.635562999999998</v>
      </c>
      <c r="C17" s="67">
        <f>+(77604331+533529)/1000000</f>
        <v>78.137860000000003</v>
      </c>
      <c r="D17" s="67">
        <f>59093452/1000000</f>
        <v>59.093451999999999</v>
      </c>
      <c r="E17" s="67">
        <f>95431959/1000000</f>
        <v>95.431959000000006</v>
      </c>
      <c r="F17" s="67">
        <f>87732103/1000000</f>
        <v>87.732102999999995</v>
      </c>
      <c r="G17" s="67">
        <f>SUM(B17:F17)</f>
        <v>354.03093699999999</v>
      </c>
      <c r="H17" s="67">
        <f>86182190/1000000</f>
        <v>86.182190000000006</v>
      </c>
      <c r="I17" s="67">
        <f>234961651/1000000</f>
        <v>234.96165099999999</v>
      </c>
      <c r="J17" s="67">
        <f>32887096/1000000</f>
        <v>32.887096</v>
      </c>
      <c r="K17" s="67">
        <f t="shared" si="1"/>
        <v>354.03093699999999</v>
      </c>
      <c r="L17" s="5"/>
    </row>
    <row r="18" spans="1:14" ht="11.65" customHeight="1" x14ac:dyDescent="0.2">
      <c r="A18" s="92" t="s">
        <v>129</v>
      </c>
      <c r="B18" s="67">
        <f>77273438/1000000</f>
        <v>77.273437999999999</v>
      </c>
      <c r="C18" s="67">
        <f>185086410/1000000</f>
        <v>185.08641</v>
      </c>
      <c r="D18" s="67">
        <f>155708829/1000000</f>
        <v>155.70882900000001</v>
      </c>
      <c r="E18" s="67">
        <f>205543699/1000000</f>
        <v>205.543699</v>
      </c>
      <c r="F18" s="67">
        <f>122850659/1000000</f>
        <v>122.85065899999999</v>
      </c>
      <c r="G18" s="67">
        <f t="shared" si="0"/>
        <v>746.46303499999999</v>
      </c>
      <c r="H18" s="67">
        <f>183391998/1000000</f>
        <v>183.391998</v>
      </c>
      <c r="I18" s="67">
        <f>505641892/1000000</f>
        <v>505.64189199999998</v>
      </c>
      <c r="J18" s="67">
        <f>57429145/1000000</f>
        <v>57.429144999999998</v>
      </c>
      <c r="K18" s="67">
        <f t="shared" si="1"/>
        <v>746.46303499999988</v>
      </c>
      <c r="L18" s="5"/>
    </row>
    <row r="19" spans="1:14" ht="11.65" customHeight="1" x14ac:dyDescent="0.2">
      <c r="A19" s="92" t="s">
        <v>130</v>
      </c>
      <c r="B19" s="67">
        <f>21008855/1000000</f>
        <v>21.008855000000001</v>
      </c>
      <c r="C19" s="67">
        <f>164964014/1000000</f>
        <v>164.96401399999999</v>
      </c>
      <c r="D19" s="67">
        <f>52322819/1000000</f>
        <v>52.322819000000003</v>
      </c>
      <c r="E19" s="67">
        <f>98118765/1000000</f>
        <v>98.118764999999996</v>
      </c>
      <c r="F19" s="67">
        <f>55233465/1000000</f>
        <v>55.233465000000002</v>
      </c>
      <c r="G19" s="67">
        <f t="shared" si="0"/>
        <v>391.647918</v>
      </c>
      <c r="H19" s="67">
        <f>101588723/1000000</f>
        <v>101.588723</v>
      </c>
      <c r="I19" s="67">
        <f>243721990/1000000</f>
        <v>243.72199000000001</v>
      </c>
      <c r="J19" s="67">
        <f>46337205/1000000</f>
        <v>46.337204999999997</v>
      </c>
      <c r="K19" s="67">
        <f>+SUM(H19:J19)</f>
        <v>391.647918</v>
      </c>
      <c r="L19" s="5"/>
    </row>
    <row r="20" spans="1:14" ht="11.65" customHeight="1" x14ac:dyDescent="0.2">
      <c r="A20" s="92" t="s">
        <v>131</v>
      </c>
      <c r="B20" s="67">
        <f>+(36926414+13380174-2264158+10963381-256740)/1000000</f>
        <v>58.749071000000001</v>
      </c>
      <c r="C20" s="67">
        <f>+(57677280+36873636+5227650+18997530+10242233)/1000000</f>
        <v>129.01832899999999</v>
      </c>
      <c r="D20" s="67">
        <f>+(30700579+19321702+2823014+9982362+154727+3911315)/1000000</f>
        <v>66.893698999999998</v>
      </c>
      <c r="E20" s="67">
        <f>120325365/1000000</f>
        <v>120.32536500000001</v>
      </c>
      <c r="F20" s="67">
        <f>91769968/1000000</f>
        <v>91.769968000000006</v>
      </c>
      <c r="G20" s="67">
        <f t="shared" si="0"/>
        <v>466.75643200000002</v>
      </c>
      <c r="H20" s="67">
        <f>97366391/1000000</f>
        <v>97.366390999999993</v>
      </c>
      <c r="I20" s="67">
        <f>239562971/1000000</f>
        <v>239.562971</v>
      </c>
      <c r="J20" s="67">
        <f>129827071/1000000</f>
        <v>129.82707099999999</v>
      </c>
      <c r="K20" s="67">
        <f t="shared" si="1"/>
        <v>466.75643299999996</v>
      </c>
      <c r="L20" s="5"/>
      <c r="N20" s="5"/>
    </row>
    <row r="21" spans="1:14" ht="11.65" customHeight="1" x14ac:dyDescent="0.2">
      <c r="A21" s="92" t="s">
        <v>132</v>
      </c>
      <c r="B21" s="67">
        <f>470932340/1000000</f>
        <v>470.93234000000001</v>
      </c>
      <c r="C21" s="67">
        <f>554269038/1000000</f>
        <v>554.26903800000002</v>
      </c>
      <c r="D21" s="67">
        <f>547345549/1000000</f>
        <v>547.34554900000001</v>
      </c>
      <c r="E21" s="67">
        <f>674051405/1000000</f>
        <v>674.05140500000005</v>
      </c>
      <c r="F21" s="67">
        <f>403066268/1000000</f>
        <v>403.06626799999998</v>
      </c>
      <c r="G21" s="67">
        <f t="shared" si="0"/>
        <v>2649.6646000000001</v>
      </c>
      <c r="H21" s="67">
        <f>617680534/1000000</f>
        <v>617.68053399999997</v>
      </c>
      <c r="I21" s="67">
        <f>1660532264/1000000</f>
        <v>1660.5322639999999</v>
      </c>
      <c r="J21" s="67">
        <f>371451798/1000000</f>
        <v>371.451798</v>
      </c>
      <c r="K21" s="67">
        <f t="shared" si="1"/>
        <v>2649.6645960000001</v>
      </c>
      <c r="L21" s="5"/>
    </row>
    <row r="22" spans="1:14" ht="11.65" customHeight="1" x14ac:dyDescent="0.2">
      <c r="A22" s="92" t="s">
        <v>133</v>
      </c>
      <c r="B22" s="67">
        <f>10476291/1000000</f>
        <v>10.476291</v>
      </c>
      <c r="C22" s="67">
        <f>83794846/1000000</f>
        <v>83.794846000000007</v>
      </c>
      <c r="D22" s="67">
        <f>49940590/1000000</f>
        <v>49.94059</v>
      </c>
      <c r="E22" s="67">
        <f>79407289/1000000</f>
        <v>79.407289000000006</v>
      </c>
      <c r="F22" s="67">
        <f>40771470/1000000</f>
        <v>40.771470000000001</v>
      </c>
      <c r="G22" s="67">
        <f t="shared" si="0"/>
        <v>264.39048600000001</v>
      </c>
      <c r="H22" s="67">
        <f>44045590/1000000</f>
        <v>44.045589999999997</v>
      </c>
      <c r="I22" s="67">
        <f>198110583/1000000</f>
        <v>198.11058299999999</v>
      </c>
      <c r="J22" s="67">
        <f>22234313/1000000</f>
        <v>22.234313</v>
      </c>
      <c r="K22" s="67">
        <f t="shared" si="1"/>
        <v>264.39048600000001</v>
      </c>
      <c r="L22" s="5"/>
    </row>
    <row r="23" spans="1:14" ht="11.65" customHeight="1" x14ac:dyDescent="0.2">
      <c r="A23" s="92" t="s">
        <v>134</v>
      </c>
      <c r="B23" s="67">
        <f>23826251/1000000</f>
        <v>23.826250999999999</v>
      </c>
      <c r="C23" s="67">
        <f>155813515/1000000</f>
        <v>155.813515</v>
      </c>
      <c r="D23" s="67">
        <f>64489452/1000000</f>
        <v>64.489452</v>
      </c>
      <c r="E23" s="67">
        <f>121494906/1000000</f>
        <v>121.494906</v>
      </c>
      <c r="F23" s="67">
        <f>69816403/1000000</f>
        <v>69.816402999999994</v>
      </c>
      <c r="G23" s="67">
        <f t="shared" si="0"/>
        <v>435.44052699999997</v>
      </c>
      <c r="H23" s="67">
        <f>107609232/1000000</f>
        <v>107.60923200000001</v>
      </c>
      <c r="I23" s="67">
        <f>301570785/1000000</f>
        <v>301.570785</v>
      </c>
      <c r="J23" s="67">
        <f>26260511/1000000</f>
        <v>26.260511000000001</v>
      </c>
      <c r="K23" s="67">
        <f t="shared" si="1"/>
        <v>435.44052800000003</v>
      </c>
      <c r="L23" s="5"/>
    </row>
    <row r="24" spans="1:14" ht="11.65" customHeight="1" x14ac:dyDescent="0.2">
      <c r="A24" s="92" t="s">
        <v>135</v>
      </c>
      <c r="B24" s="67">
        <f>63020294/1000000</f>
        <v>63.020294</v>
      </c>
      <c r="C24" s="67">
        <f>+(167273051+712550)/1000000</f>
        <v>167.985601</v>
      </c>
      <c r="D24" s="67">
        <f>69431531/1000000</f>
        <v>69.431531000000007</v>
      </c>
      <c r="E24" s="67">
        <f>111530771/1000000</f>
        <v>111.530771</v>
      </c>
      <c r="F24" s="67">
        <f>-5146049/1000000</f>
        <v>-5.1460489999999997</v>
      </c>
      <c r="G24" s="67">
        <f t="shared" si="0"/>
        <v>406.82214800000003</v>
      </c>
      <c r="H24" s="67">
        <f>96259713/1000000</f>
        <v>96.259713000000005</v>
      </c>
      <c r="I24" s="67">
        <f>278826927/1000000</f>
        <v>278.82692700000001</v>
      </c>
      <c r="J24" s="67">
        <f>31735508/1000000</f>
        <v>31.735507999999999</v>
      </c>
      <c r="K24" s="67">
        <f t="shared" si="1"/>
        <v>406.82214799999997</v>
      </c>
      <c r="L24" s="5"/>
    </row>
    <row r="25" spans="1:14" ht="11.65" customHeight="1" x14ac:dyDescent="0.2">
      <c r="A25" s="92" t="s">
        <v>136</v>
      </c>
      <c r="B25" s="67">
        <f>47515854/1000000</f>
        <v>47.515853999999997</v>
      </c>
      <c r="C25" s="67">
        <f>+(62313700+147655)/1000000</f>
        <v>62.461354999999998</v>
      </c>
      <c r="D25" s="67">
        <f>42561421/1000000</f>
        <v>42.561421000000003</v>
      </c>
      <c r="E25" s="67">
        <f>89869662/1000000</f>
        <v>89.869662000000005</v>
      </c>
      <c r="F25" s="67">
        <f>79938378/1000000</f>
        <v>79.938378</v>
      </c>
      <c r="G25" s="67">
        <f t="shared" si="0"/>
        <v>322.34667000000002</v>
      </c>
      <c r="H25" s="67">
        <f>75686891/1000000</f>
        <v>75.686891000000003</v>
      </c>
      <c r="I25" s="67">
        <f>218725418/1000000</f>
        <v>218.72541799999999</v>
      </c>
      <c r="J25" s="67">
        <f>27934361/1000000</f>
        <v>27.934360999999999</v>
      </c>
      <c r="K25" s="67">
        <f t="shared" si="1"/>
        <v>322.34667000000002</v>
      </c>
      <c r="L25" s="5"/>
    </row>
    <row r="26" spans="1:14" ht="11.65" customHeight="1" x14ac:dyDescent="0.2">
      <c r="A26" s="92" t="s">
        <v>137</v>
      </c>
      <c r="B26" s="67">
        <f>(30612177-5300390+3602251)/1000000</f>
        <v>28.914038000000001</v>
      </c>
      <c r="C26" s="67">
        <f>(54130871+26683143+23980207)/1000000</f>
        <v>104.79422099999999</v>
      </c>
      <c r="D26" s="67">
        <f>(20837869+10021049+8111147)/1000000</f>
        <v>38.970064999999998</v>
      </c>
      <c r="E26" s="67">
        <f>(19801740+22371588+16958096)/1000000</f>
        <v>59.131424000000003</v>
      </c>
      <c r="F26" s="67">
        <f>(-27223272+35798262+18260507)/1000000</f>
        <v>26.835497</v>
      </c>
      <c r="G26" s="67">
        <f t="shared" si="0"/>
        <v>258.64524499999999</v>
      </c>
      <c r="H26" s="67">
        <f>+(23544059+22969392+16200762)/1000000</f>
        <v>62.714213000000001</v>
      </c>
      <c r="I26" s="67">
        <f>(51797473+59555771+45019837)/1000000</f>
        <v>156.37308100000001</v>
      </c>
      <c r="J26" s="67">
        <f>(22817853+5135269+1913219+8807779+883830)/1000000</f>
        <v>39.557949999999998</v>
      </c>
      <c r="K26" s="67">
        <f t="shared" si="1"/>
        <v>258.64524399999999</v>
      </c>
      <c r="L26" s="5"/>
    </row>
    <row r="27" spans="1:14" ht="11.65" customHeight="1" x14ac:dyDescent="0.2">
      <c r="A27" s="92" t="s">
        <v>138</v>
      </c>
      <c r="B27" s="67">
        <f>42958226/1000000</f>
        <v>42.958226000000003</v>
      </c>
      <c r="C27" s="67">
        <f>141092420/1000000</f>
        <v>141.09242</v>
      </c>
      <c r="D27" s="67">
        <f>79189657/1000000</f>
        <v>79.189656999999997</v>
      </c>
      <c r="E27" s="67">
        <f>107966147/1000000</f>
        <v>107.96614700000001</v>
      </c>
      <c r="F27" s="67">
        <f>28749844/1000000</f>
        <v>28.749844</v>
      </c>
      <c r="G27" s="67">
        <f t="shared" si="0"/>
        <v>399.95629400000001</v>
      </c>
      <c r="H27" s="67">
        <f>96142467/1000000</f>
        <v>96.142466999999996</v>
      </c>
      <c r="I27" s="67">
        <f>269855446/1000000</f>
        <v>269.85544599999997</v>
      </c>
      <c r="J27" s="67">
        <f>33958381/1000000</f>
        <v>33.958381000000003</v>
      </c>
      <c r="K27" s="67">
        <f t="shared" si="1"/>
        <v>399.95629399999996</v>
      </c>
      <c r="L27" s="5"/>
    </row>
    <row r="28" spans="1:14" ht="11.65" customHeight="1" x14ac:dyDescent="0.2">
      <c r="A28" s="92" t="s">
        <v>139</v>
      </c>
      <c r="B28" s="67">
        <f>96693760/1000000</f>
        <v>96.693759999999997</v>
      </c>
      <c r="C28" s="67">
        <f>91373962/1000000</f>
        <v>91.373962000000006</v>
      </c>
      <c r="D28" s="67">
        <f>41372087/1000000</f>
        <v>41.372087000000001</v>
      </c>
      <c r="E28" s="67">
        <f>95829652/1000000</f>
        <v>95.829651999999996</v>
      </c>
      <c r="F28" s="67">
        <f>2008618/1000000</f>
        <v>2.0086179999999998</v>
      </c>
      <c r="G28" s="67">
        <f t="shared" si="0"/>
        <v>327.27807899999999</v>
      </c>
      <c r="H28" s="67">
        <f>102027395/1000000</f>
        <v>102.027395</v>
      </c>
      <c r="I28" s="67">
        <f>191376756/1000000</f>
        <v>191.376756</v>
      </c>
      <c r="J28" s="67">
        <f>33873928/1000000</f>
        <v>33.873927999999999</v>
      </c>
      <c r="K28" s="67">
        <f t="shared" si="1"/>
        <v>327.27807899999999</v>
      </c>
      <c r="L28" s="5"/>
    </row>
    <row r="29" spans="1:14" ht="11.65" customHeight="1" x14ac:dyDescent="0.2">
      <c r="A29" s="94" t="s">
        <v>140</v>
      </c>
      <c r="B29" s="67">
        <f>68800678/1000000</f>
        <v>68.800678000000005</v>
      </c>
      <c r="C29" s="67">
        <f>66259681/1000000</f>
        <v>66.259681</v>
      </c>
      <c r="D29" s="67">
        <f>48579681/1000000</f>
        <v>48.579681000000001</v>
      </c>
      <c r="E29" s="67">
        <f>99550573/1000000</f>
        <v>99.550573</v>
      </c>
      <c r="F29" s="67">
        <f>120422596/1000000</f>
        <v>120.422596</v>
      </c>
      <c r="G29" s="67">
        <f t="shared" si="0"/>
        <v>403.61320899999998</v>
      </c>
      <c r="H29" s="67">
        <f>98927542/1000000</f>
        <v>98.927542000000003</v>
      </c>
      <c r="I29" s="67">
        <f>246596512/1000000</f>
        <v>246.59651199999999</v>
      </c>
      <c r="J29" s="67">
        <f>58088538/1000000</f>
        <v>58.088538</v>
      </c>
      <c r="K29" s="67">
        <f t="shared" si="1"/>
        <v>403.61259199999995</v>
      </c>
      <c r="L29" s="5"/>
    </row>
    <row r="30" spans="1:14" ht="11.65" customHeight="1" x14ac:dyDescent="0.2">
      <c r="A30" s="92" t="s">
        <v>141</v>
      </c>
      <c r="B30" s="67">
        <f>236439071/1000000</f>
        <v>236.43907100000001</v>
      </c>
      <c r="C30" s="67">
        <f>144024707/1000000</f>
        <v>144.02470700000001</v>
      </c>
      <c r="D30" s="67">
        <f>98306985/1000000</f>
        <v>98.306984999999997</v>
      </c>
      <c r="E30" s="67">
        <f>227371312/1000000</f>
        <v>227.37131199999999</v>
      </c>
      <c r="F30" s="67">
        <f>123258528/1000000</f>
        <v>123.258528</v>
      </c>
      <c r="G30" s="67">
        <f t="shared" si="0"/>
        <v>829.40060299999993</v>
      </c>
      <c r="H30" s="67">
        <f>219655329/1000000</f>
        <v>219.65532899999999</v>
      </c>
      <c r="I30" s="67">
        <f>564791024/1000000</f>
        <v>564.79102399999999</v>
      </c>
      <c r="J30" s="67">
        <f>+(36702576+8251674)/1000000</f>
        <v>44.954250000000002</v>
      </c>
      <c r="K30" s="67">
        <f t="shared" si="1"/>
        <v>829.40060300000005</v>
      </c>
      <c r="L30" s="5"/>
    </row>
    <row r="31" spans="1:14" ht="11.65" customHeight="1" x14ac:dyDescent="0.2">
      <c r="A31" s="92" t="s">
        <v>142</v>
      </c>
      <c r="B31" s="67">
        <f>172661226/1000000</f>
        <v>172.661226</v>
      </c>
      <c r="C31" s="67">
        <f>215105285/1000000</f>
        <v>215.10528500000001</v>
      </c>
      <c r="D31" s="67">
        <f>95425590/1000000</f>
        <v>95.42559</v>
      </c>
      <c r="E31" s="67">
        <f>198028700/1000000</f>
        <v>198.02869999999999</v>
      </c>
      <c r="F31" s="67">
        <f>11158655/1000000</f>
        <v>11.158655</v>
      </c>
      <c r="G31" s="67">
        <f t="shared" si="0"/>
        <v>692.379456</v>
      </c>
      <c r="H31" s="67">
        <f>204810700/1000000</f>
        <v>204.8107</v>
      </c>
      <c r="I31" s="67">
        <f>439800000/1000000</f>
        <v>439.8</v>
      </c>
      <c r="J31" s="67">
        <f>47768756/1000000</f>
        <v>47.768756000000003</v>
      </c>
      <c r="K31" s="67">
        <f t="shared" si="1"/>
        <v>692.379456</v>
      </c>
      <c r="L31" s="5"/>
    </row>
    <row r="32" spans="1:14" ht="11.65" customHeight="1" x14ac:dyDescent="0.2">
      <c r="A32" s="92" t="s">
        <v>143</v>
      </c>
      <c r="B32" s="67">
        <f>107694863/1000000</f>
        <v>107.694863</v>
      </c>
      <c r="C32" s="67">
        <f>312047219/1000000</f>
        <v>312.04721899999998</v>
      </c>
      <c r="D32" s="67">
        <f>266900637/1000000</f>
        <v>266.90063700000002</v>
      </c>
      <c r="E32" s="67">
        <f>424186466/1000000</f>
        <v>424.186466</v>
      </c>
      <c r="F32" s="67">
        <f>157104573/1000000</f>
        <v>157.10457299999999</v>
      </c>
      <c r="G32" s="67">
        <f t="shared" si="0"/>
        <v>1267.9337580000001</v>
      </c>
      <c r="H32" s="67">
        <f>363221916/1000000</f>
        <v>363.22191600000002</v>
      </c>
      <c r="I32" s="67">
        <f>817154885/1000000</f>
        <v>817.15488500000004</v>
      </c>
      <c r="J32" s="67">
        <f>87556957/1000000</f>
        <v>87.556956999999997</v>
      </c>
      <c r="K32" s="67">
        <f>+SUM(H32:J32)</f>
        <v>1267.9337580000001</v>
      </c>
      <c r="L32" s="5"/>
    </row>
    <row r="33" spans="1:12" ht="11.65" customHeight="1" x14ac:dyDescent="0.2">
      <c r="A33" s="92" t="s">
        <v>144</v>
      </c>
      <c r="B33" s="67">
        <f>30665334/1000000</f>
        <v>30.665334000000001</v>
      </c>
      <c r="C33" s="67">
        <f>291692211/1000000</f>
        <v>291.69221099999999</v>
      </c>
      <c r="D33" s="67">
        <f>107488820/1000000</f>
        <v>107.48882</v>
      </c>
      <c r="E33" s="67">
        <f>176204829/1000000</f>
        <v>176.20482899999999</v>
      </c>
      <c r="F33" s="67">
        <f>81754998/1000000</f>
        <v>81.754998000000001</v>
      </c>
      <c r="G33" s="67">
        <f t="shared" si="0"/>
        <v>687.80619200000001</v>
      </c>
      <c r="H33" s="67">
        <f>182413044/1000000</f>
        <v>182.41304400000001</v>
      </c>
      <c r="I33" s="67">
        <f>438545553/1000000</f>
        <v>438.54555299999998</v>
      </c>
      <c r="J33" s="67">
        <f>66847595/1000000</f>
        <v>66.847594999999998</v>
      </c>
      <c r="K33" s="67">
        <f t="shared" si="1"/>
        <v>687.80619200000001</v>
      </c>
      <c r="L33" s="5"/>
    </row>
    <row r="34" spans="1:12" ht="11.65" customHeight="1" x14ac:dyDescent="0.2">
      <c r="A34" s="92" t="s">
        <v>145</v>
      </c>
      <c r="B34" s="67">
        <f>+(468316+346086+22108+130347+178476)/1000000</f>
        <v>1.1453329999999999</v>
      </c>
      <c r="C34" s="67">
        <f>+(3249526+3846+6385372+48972+5531958+57276+3894018+6809)/1000000</f>
        <v>19.177776999999999</v>
      </c>
      <c r="D34" s="67">
        <f>+(611114+315361+603572+158725)/1000000</f>
        <v>1.6887719999999999</v>
      </c>
      <c r="E34" s="67">
        <f>+(1240003+2495654+41679+2562967+444769)/1000000</f>
        <v>6.7850720000000004</v>
      </c>
      <c r="F34" s="67">
        <f>+(2137174+74160+486908+2189933)/1000000</f>
        <v>4.8881750000000004</v>
      </c>
      <c r="G34" s="67">
        <f t="shared" si="0"/>
        <v>33.685129000000003</v>
      </c>
      <c r="H34" s="67">
        <f>+(969600+3151656+137018+2960189+437194)/1000000</f>
        <v>7.6556569999999997</v>
      </c>
      <c r="I34" s="67">
        <f>+(3100008+6239134+41679+6407418+1111922)/1000000</f>
        <v>16.900161000000001</v>
      </c>
      <c r="J34" s="67">
        <f>+(1496450+6747+2288857+8222+5421+5323614)/1000000</f>
        <v>9.1293109999999995</v>
      </c>
      <c r="K34" s="67">
        <f t="shared" si="1"/>
        <v>33.685129000000003</v>
      </c>
      <c r="L34" s="5"/>
    </row>
    <row r="35" spans="1:12" ht="11.65" customHeight="1" x14ac:dyDescent="0.2">
      <c r="A35" s="92" t="s">
        <v>146</v>
      </c>
      <c r="B35" s="67">
        <f>152242630/1000000</f>
        <v>152.24262999999999</v>
      </c>
      <c r="C35" s="67">
        <f>129334306/1000000</f>
        <v>129.334306</v>
      </c>
      <c r="D35" s="67">
        <f>72813612/1000000</f>
        <v>72.813612000000006</v>
      </c>
      <c r="E35" s="67">
        <f>151681507/1000000</f>
        <v>151.68150700000001</v>
      </c>
      <c r="F35" s="67">
        <f>53216516/1000000</f>
        <v>53.216515999999999</v>
      </c>
      <c r="G35" s="67">
        <f t="shared" si="0"/>
        <v>559.28857099999993</v>
      </c>
      <c r="H35" s="67">
        <f>156359562/1000000</f>
        <v>156.35956200000001</v>
      </c>
      <c r="I35" s="67">
        <f>379143847/1000000</f>
        <v>379.14384699999999</v>
      </c>
      <c r="J35" s="67">
        <f>23785162/1000000</f>
        <v>23.785162</v>
      </c>
      <c r="K35" s="67">
        <f t="shared" si="1"/>
        <v>559.28857100000005</v>
      </c>
      <c r="L35" s="5"/>
    </row>
    <row r="36" spans="1:12" ht="11.65" customHeight="1" x14ac:dyDescent="0.2">
      <c r="A36" s="92" t="s">
        <v>147</v>
      </c>
      <c r="B36" s="67">
        <f>-6175657/1000000</f>
        <v>-6.1756570000000002</v>
      </c>
      <c r="C36" s="67">
        <f>123924866/1000000</f>
        <v>123.92486599999999</v>
      </c>
      <c r="D36" s="67">
        <f>92238727/1000000</f>
        <v>92.238726999999997</v>
      </c>
      <c r="E36" s="67">
        <f>96669632/1000000</f>
        <v>96.669631999999993</v>
      </c>
      <c r="F36" s="67">
        <f>101734851/1000000</f>
        <v>101.73485100000001</v>
      </c>
      <c r="G36" s="67">
        <f t="shared" si="0"/>
        <v>408.39241899999996</v>
      </c>
      <c r="H36" s="67">
        <f>102098593/1000000</f>
        <v>102.09859299999999</v>
      </c>
      <c r="I36" s="67">
        <f>241264153/1000000</f>
        <v>241.26415299999999</v>
      </c>
      <c r="J36" s="67">
        <f>65029673/1000000</f>
        <v>65.029673000000003</v>
      </c>
      <c r="K36" s="67">
        <f t="shared" si="1"/>
        <v>408.39241900000002</v>
      </c>
      <c r="L36" s="5"/>
    </row>
    <row r="37" spans="1:12" ht="11.65" customHeight="1" x14ac:dyDescent="0.2">
      <c r="A37" s="92" t="s">
        <v>148</v>
      </c>
      <c r="B37" s="67">
        <f>498742620/1000000</f>
        <v>498.74261999999999</v>
      </c>
      <c r="C37" s="67">
        <f>419741362/1000000</f>
        <v>419.74136199999998</v>
      </c>
      <c r="D37" s="67">
        <f>437180745/1000000</f>
        <v>437.180745</v>
      </c>
      <c r="E37" s="67">
        <f>679100767/1000000</f>
        <v>679.10076700000002</v>
      </c>
      <c r="F37" s="67">
        <f>284489778/1000000</f>
        <v>284.489778</v>
      </c>
      <c r="G37" s="67">
        <f t="shared" si="0"/>
        <v>2319.2552719999999</v>
      </c>
      <c r="H37" s="67">
        <f>565005072/1000000</f>
        <v>565.00507200000004</v>
      </c>
      <c r="I37" s="67">
        <f>1635969214/1000000</f>
        <v>1635.969214</v>
      </c>
      <c r="J37" s="67">
        <f>118280986/1000000</f>
        <v>118.280986</v>
      </c>
      <c r="K37" s="67">
        <f t="shared" si="1"/>
        <v>2319.2552720000003</v>
      </c>
      <c r="L37" s="5"/>
    </row>
    <row r="38" spans="1:12" ht="11.65" customHeight="1" x14ac:dyDescent="0.2">
      <c r="A38" s="92" t="s">
        <v>149</v>
      </c>
      <c r="B38" s="67">
        <f>40723254/1000000</f>
        <v>40.723253999999997</v>
      </c>
      <c r="C38" s="67">
        <f>+(61525077+255172+367964+186804)/1000000</f>
        <v>62.335017000000001</v>
      </c>
      <c r="D38" s="67">
        <f>28143220/1000000</f>
        <v>28.143219999999999</v>
      </c>
      <c r="E38" s="67">
        <f>57061952/1000000</f>
        <v>57.061951999999998</v>
      </c>
      <c r="F38" s="67">
        <f>6029622/1000000</f>
        <v>6.0296219999999998</v>
      </c>
      <c r="G38" s="67">
        <f t="shared" si="0"/>
        <v>194.29306499999996</v>
      </c>
      <c r="H38" s="67">
        <f>52686205/1000000</f>
        <v>52.686205000000001</v>
      </c>
      <c r="I38" s="67">
        <f>113866924/1000000</f>
        <v>113.866924</v>
      </c>
      <c r="J38" s="67">
        <f>+(27728489+11447)/1000000</f>
        <v>27.739936</v>
      </c>
      <c r="K38" s="67">
        <f t="shared" si="1"/>
        <v>194.29306500000001</v>
      </c>
      <c r="L38" s="5"/>
    </row>
    <row r="39" spans="1:12" ht="11.65" customHeight="1" x14ac:dyDescent="0.2">
      <c r="A39" s="92" t="s">
        <v>150</v>
      </c>
      <c r="B39" s="67">
        <f>+(93389883+66811044+85390202)/1000000</f>
        <v>245.591129</v>
      </c>
      <c r="C39" s="67">
        <f>+(213283566+127470248+86998844)/1000000</f>
        <v>427.752658</v>
      </c>
      <c r="D39" s="67">
        <f>+(199616115+118256519+75039032)/1000000</f>
        <v>392.91166600000003</v>
      </c>
      <c r="E39" s="67">
        <f>+(152538927+25626382+229526101+132680977)/1000000</f>
        <v>540.372387</v>
      </c>
      <c r="F39" s="67">
        <f>+(-46065413+357323104+104757042)/1000000</f>
        <v>416.01473299999998</v>
      </c>
      <c r="G39" s="67">
        <f t="shared" si="0"/>
        <v>2022.6425730000001</v>
      </c>
      <c r="H39" s="67">
        <f>+(120196589+260792299+125764022)/1000000</f>
        <v>506.75290999999999</v>
      </c>
      <c r="I39" s="67">
        <f>+(381347318+599441634+331702443)/1000000</f>
        <v>1312.491395</v>
      </c>
      <c r="J39" s="67">
        <f>+(111219171+64779464+27399633)/1000000</f>
        <v>203.398268</v>
      </c>
      <c r="K39" s="67">
        <f t="shared" si="1"/>
        <v>2022.6425729999999</v>
      </c>
      <c r="L39" s="5"/>
    </row>
    <row r="40" spans="1:12" ht="11.65" customHeight="1" x14ac:dyDescent="0.2">
      <c r="A40" s="92" t="s">
        <v>151</v>
      </c>
      <c r="B40" s="67">
        <f>203853432/1000000</f>
        <v>203.853432</v>
      </c>
      <c r="C40" s="67">
        <f>199686203/1000000</f>
        <v>199.68620300000001</v>
      </c>
      <c r="D40" s="67">
        <f>121664500/1000000</f>
        <v>121.6645</v>
      </c>
      <c r="E40" s="67">
        <f>+(49874540+81789945+74447013)/1000000</f>
        <v>206.11149800000001</v>
      </c>
      <c r="F40" s="67">
        <f>+(13983882+34798024+43463065)/1000000</f>
        <v>92.244971000000007</v>
      </c>
      <c r="G40" s="67">
        <f t="shared" si="0"/>
        <v>823.5606039999999</v>
      </c>
      <c r="H40" s="67">
        <f>+(52071210+70671571+85089504)/1000000</f>
        <v>207.83228500000001</v>
      </c>
      <c r="I40" s="67">
        <f>+(124686351+202826434+186117532)/1000000</f>
        <v>513.63031699999999</v>
      </c>
      <c r="J40" s="67">
        <f>+(71169374+21863825+9064803)/1000000</f>
        <v>102.09800199999999</v>
      </c>
      <c r="K40" s="67">
        <f t="shared" si="1"/>
        <v>823.56060400000001</v>
      </c>
      <c r="L40" s="5"/>
    </row>
    <row r="41" spans="1:12" ht="11.65" customHeight="1" x14ac:dyDescent="0.2">
      <c r="A41" s="92" t="s">
        <v>233</v>
      </c>
      <c r="B41" s="67">
        <f>69739682/1000000</f>
        <v>69.739682000000002</v>
      </c>
      <c r="C41" s="67">
        <f>+(165885058+681134)/1000000</f>
        <v>166.566192</v>
      </c>
      <c r="D41" s="67">
        <f>70129594/1000000</f>
        <v>70.129593999999997</v>
      </c>
      <c r="E41" s="67">
        <f>148730136/1000000</f>
        <v>148.73013599999999</v>
      </c>
      <c r="F41" s="67">
        <f>81024418/1000000</f>
        <v>81.024417999999997</v>
      </c>
      <c r="G41" s="67">
        <f>SUM(B41:F41)</f>
        <v>536.190022</v>
      </c>
      <c r="H41" s="67">
        <f>138598668/1000000</f>
        <v>138.598668</v>
      </c>
      <c r="I41" s="67">
        <f>354995209/1000000</f>
        <v>354.99520899999999</v>
      </c>
      <c r="J41" s="67">
        <f>+(38956949+3639196)/1000000</f>
        <v>42.596145</v>
      </c>
      <c r="K41" s="67">
        <f t="shared" si="1"/>
        <v>536.190022</v>
      </c>
      <c r="L41" s="5"/>
    </row>
    <row r="42" spans="1:12" ht="11.65" customHeight="1" x14ac:dyDescent="0.2">
      <c r="A42" s="92" t="s">
        <v>152</v>
      </c>
      <c r="B42" s="67">
        <f>49894918/1000000</f>
        <v>49.894917999999997</v>
      </c>
      <c r="C42" s="67">
        <f>130512803/1000000</f>
        <v>130.51280299999999</v>
      </c>
      <c r="D42" s="67">
        <f>48027514/1000000</f>
        <v>48.027513999999996</v>
      </c>
      <c r="E42" s="67">
        <f>139655308/1000000</f>
        <v>139.65530799999999</v>
      </c>
      <c r="F42" s="67">
        <f>29238371/1000000</f>
        <v>29.238371000000001</v>
      </c>
      <c r="G42" s="67">
        <f t="shared" si="0"/>
        <v>397.32891399999994</v>
      </c>
      <c r="H42" s="67">
        <f>80475568/1000000</f>
        <v>80.475567999999996</v>
      </c>
      <c r="I42" s="67">
        <f>279310614/1000000</f>
        <v>279.31061399999999</v>
      </c>
      <c r="J42" s="67">
        <f>37542732/1000000</f>
        <v>37.542732000000001</v>
      </c>
      <c r="K42" s="67">
        <f t="shared" si="1"/>
        <v>397.328914</v>
      </c>
      <c r="L42" s="5"/>
    </row>
    <row r="43" spans="1:12" ht="11.65" customHeight="1" x14ac:dyDescent="0.2">
      <c r="A43" s="92" t="s">
        <v>153</v>
      </c>
      <c r="B43" s="67">
        <f>-8206356/1000000</f>
        <v>-8.2063559999999995</v>
      </c>
      <c r="C43" s="67">
        <f>23817747/1000000</f>
        <v>23.817747000000001</v>
      </c>
      <c r="D43" s="67">
        <f>4786371/1000000</f>
        <v>4.7863709999999999</v>
      </c>
      <c r="E43" s="67">
        <f>12713187/1000000</f>
        <v>12.713187</v>
      </c>
      <c r="F43" s="67">
        <f>18664413/1000000</f>
        <v>18.664413</v>
      </c>
      <c r="G43" s="67">
        <f t="shared" si="0"/>
        <v>51.775362000000001</v>
      </c>
      <c r="H43" s="67">
        <f>8855740/1000000</f>
        <v>8.8557400000000008</v>
      </c>
      <c r="I43" s="67">
        <f>31723045/1000000</f>
        <v>31.723044999999999</v>
      </c>
      <c r="J43" s="67">
        <f>11196577/1000000</f>
        <v>11.196577</v>
      </c>
      <c r="K43" s="67">
        <f t="shared" si="1"/>
        <v>51.775361999999994</v>
      </c>
      <c r="L43" s="5"/>
    </row>
    <row r="44" spans="1:12" ht="11.65" customHeight="1" x14ac:dyDescent="0.2">
      <c r="A44" s="92" t="s">
        <v>154</v>
      </c>
      <c r="B44" s="67">
        <f>70296448/1000000</f>
        <v>70.296447999999998</v>
      </c>
      <c r="C44" s="67">
        <f>130915977/1000000</f>
        <v>130.915977</v>
      </c>
      <c r="D44" s="67">
        <f>69239482/1000000</f>
        <v>69.239481999999995</v>
      </c>
      <c r="E44" s="67">
        <f>135068704/1000000</f>
        <v>135.068704</v>
      </c>
      <c r="F44" s="67">
        <f>88345658/1000000</f>
        <v>88.345658</v>
      </c>
      <c r="G44" s="67">
        <f t="shared" si="0"/>
        <v>493.86626900000005</v>
      </c>
      <c r="H44" s="67">
        <f>120214934/1000000</f>
        <v>120.214934</v>
      </c>
      <c r="I44" s="67">
        <f>337611837/1000000</f>
        <v>337.61183699999998</v>
      </c>
      <c r="J44" s="67">
        <f>36039498/1000000</f>
        <v>36.039498000000002</v>
      </c>
      <c r="K44" s="67">
        <f t="shared" si="1"/>
        <v>493.86626899999999</v>
      </c>
      <c r="L44" s="5"/>
    </row>
    <row r="45" spans="1:12" ht="11.65" customHeight="1" x14ac:dyDescent="0.2">
      <c r="A45" s="92" t="s">
        <v>155</v>
      </c>
      <c r="B45" s="67">
        <f>26285538/1000000</f>
        <v>26.285537999999999</v>
      </c>
      <c r="C45" s="67">
        <f>104976788/1000000</f>
        <v>104.976788</v>
      </c>
      <c r="D45" s="67">
        <f>33624542/1000000</f>
        <v>33.624541999999998</v>
      </c>
      <c r="E45" s="67">
        <f>62220851/1000000</f>
        <v>62.220851000000003</v>
      </c>
      <c r="F45" s="67">
        <f>5817208/1000000</f>
        <v>5.8172079999999999</v>
      </c>
      <c r="G45" s="67">
        <f t="shared" si="0"/>
        <v>232.924927</v>
      </c>
      <c r="H45" s="67">
        <f>55143391/1000000</f>
        <v>55.143391000000001</v>
      </c>
      <c r="I45" s="67">
        <f>155471993/1000000</f>
        <v>155.471993</v>
      </c>
      <c r="J45" s="67">
        <f>22309544/1000000</f>
        <v>22.309543999999999</v>
      </c>
      <c r="K45" s="67">
        <f t="shared" si="1"/>
        <v>232.92492799999999</v>
      </c>
      <c r="L45" s="5"/>
    </row>
    <row r="46" spans="1:12" ht="11.65" customHeight="1" x14ac:dyDescent="0.2">
      <c r="A46" s="92" t="s">
        <v>156</v>
      </c>
      <c r="B46" s="67">
        <f>68277181/1000000</f>
        <v>68.277180999999999</v>
      </c>
      <c r="C46" s="67">
        <f>64102997/1000000</f>
        <v>64.102997000000002</v>
      </c>
      <c r="D46" s="67">
        <f>18385168/1000000</f>
        <v>18.385168</v>
      </c>
      <c r="E46" s="67">
        <f>66099171/1000000</f>
        <v>66.099170999999998</v>
      </c>
      <c r="F46" s="67">
        <f>10871915/1000000</f>
        <v>10.871915</v>
      </c>
      <c r="G46" s="67">
        <f t="shared" si="0"/>
        <v>227.73643199999998</v>
      </c>
      <c r="H46" s="67">
        <f>54779160/1000000</f>
        <v>54.779159999999997</v>
      </c>
      <c r="I46" s="67">
        <f>147446236/1000000</f>
        <v>147.446236</v>
      </c>
      <c r="J46" s="67">
        <f>25511036/1000000</f>
        <v>25.511036000000001</v>
      </c>
      <c r="K46" s="67">
        <f t="shared" si="1"/>
        <v>227.73643199999998</v>
      </c>
      <c r="L46" s="5"/>
    </row>
    <row r="47" spans="1:12" ht="11.65" customHeight="1" x14ac:dyDescent="0.2">
      <c r="A47" s="92" t="s">
        <v>157</v>
      </c>
      <c r="B47" s="67">
        <f>11482157/1000000</f>
        <v>11.482157000000001</v>
      </c>
      <c r="C47" s="67">
        <f>161965256/1000000</f>
        <v>161.96525600000001</v>
      </c>
      <c r="D47" s="67">
        <f>54214585/1000000</f>
        <v>54.214585</v>
      </c>
      <c r="E47" s="67">
        <f>86258278/1000000</f>
        <v>86.258278000000004</v>
      </c>
      <c r="F47" s="67">
        <f>51197710/1000000</f>
        <v>51.197710000000001</v>
      </c>
      <c r="G47" s="67">
        <f t="shared" si="0"/>
        <v>365.11798599999997</v>
      </c>
      <c r="H47" s="67">
        <f>83565507/1000000</f>
        <v>83.565506999999997</v>
      </c>
      <c r="I47" s="67">
        <f>215292605/1000000</f>
        <v>215.29260500000001</v>
      </c>
      <c r="J47" s="67">
        <f>66259874/1000000</f>
        <v>66.259873999999996</v>
      </c>
      <c r="K47" s="67">
        <f t="shared" si="1"/>
        <v>365.11798599999997</v>
      </c>
      <c r="L47" s="5"/>
    </row>
    <row r="48" spans="1:12" ht="11.65" customHeight="1" x14ac:dyDescent="0.2">
      <c r="A48" s="92" t="s">
        <v>158</v>
      </c>
      <c r="B48" s="67">
        <f>53168145/1000000</f>
        <v>53.168145000000003</v>
      </c>
      <c r="C48" s="67">
        <f>176566822/1000000</f>
        <v>176.566822</v>
      </c>
      <c r="D48" s="67">
        <f>60823348/1000000</f>
        <v>60.823348000000003</v>
      </c>
      <c r="E48" s="67">
        <f>113062028/1000000</f>
        <v>113.062028</v>
      </c>
      <c r="F48" s="67">
        <f>43316605/1000000</f>
        <v>43.316605000000003</v>
      </c>
      <c r="G48" s="67">
        <f t="shared" si="0"/>
        <v>446.93694799999997</v>
      </c>
      <c r="H48" s="67">
        <f>109448301/1000000</f>
        <v>109.448301</v>
      </c>
      <c r="I48" s="67">
        <f>278282222/1000000</f>
        <v>278.28222199999999</v>
      </c>
      <c r="J48" s="67">
        <f>59206425/1000000</f>
        <v>59.206425000000003</v>
      </c>
      <c r="K48" s="67">
        <f>+SUM(H48:J48)</f>
        <v>446.93694800000003</v>
      </c>
      <c r="L48" s="5"/>
    </row>
    <row r="49" spans="1:12" ht="11.65" customHeight="1" x14ac:dyDescent="0.2">
      <c r="A49" s="92" t="s">
        <v>159</v>
      </c>
      <c r="B49" s="67">
        <f>78336668/1000000</f>
        <v>78.336668000000003</v>
      </c>
      <c r="C49" s="67">
        <f>110493366/1000000</f>
        <v>110.49336599999999</v>
      </c>
      <c r="D49" s="67">
        <f>49651893/1000000</f>
        <v>49.651893000000001</v>
      </c>
      <c r="E49" s="67">
        <f>126486287/1000000</f>
        <v>126.486287</v>
      </c>
      <c r="F49" s="67">
        <f>74269911/1000000</f>
        <v>74.269910999999993</v>
      </c>
      <c r="G49" s="67">
        <f t="shared" si="0"/>
        <v>439.23812499999997</v>
      </c>
      <c r="H49" s="67">
        <f>112692081/1000000</f>
        <v>112.692081</v>
      </c>
      <c r="I49" s="67">
        <f>316079373/1000000</f>
        <v>316.07937299999998</v>
      </c>
      <c r="J49" s="67">
        <f>10466671/1000000</f>
        <v>10.466671</v>
      </c>
      <c r="K49" s="67">
        <f t="shared" si="1"/>
        <v>439.23812499999997</v>
      </c>
      <c r="L49" s="5"/>
    </row>
    <row r="50" spans="1:12" ht="11.65" customHeight="1" x14ac:dyDescent="0.2">
      <c r="A50" s="95" t="s">
        <v>87</v>
      </c>
      <c r="B50" s="84">
        <f>SUM(B5:B49)</f>
        <v>4020.5997329999996</v>
      </c>
      <c r="C50" s="84">
        <f t="shared" ref="C50:K50" si="2">SUM(C5:C49)</f>
        <v>6755.7498489999998</v>
      </c>
      <c r="D50" s="84">
        <f t="shared" si="2"/>
        <v>4111.0995529999991</v>
      </c>
      <c r="E50" s="84">
        <f t="shared" si="2"/>
        <v>6906.5863550000022</v>
      </c>
      <c r="F50" s="84">
        <f t="shared" si="2"/>
        <v>3605.9855130000005</v>
      </c>
      <c r="G50" s="84">
        <f t="shared" si="2"/>
        <v>25400.021002999998</v>
      </c>
      <c r="H50" s="84">
        <f t="shared" si="2"/>
        <v>6365.1693389999991</v>
      </c>
      <c r="I50" s="84">
        <f t="shared" si="2"/>
        <v>16549.340070999999</v>
      </c>
      <c r="J50" s="84">
        <f t="shared" si="2"/>
        <v>2485.5109759999996</v>
      </c>
      <c r="K50" s="84">
        <f t="shared" si="2"/>
        <v>25400.020385999997</v>
      </c>
      <c r="L50" s="5"/>
    </row>
    <row r="51" spans="1:12" ht="11.65" customHeight="1" x14ac:dyDescent="0.2">
      <c r="A51" s="92" t="s">
        <v>160</v>
      </c>
      <c r="B51" s="67">
        <f>2337192442/1000000</f>
        <v>2337.192442</v>
      </c>
      <c r="C51" s="67">
        <f>834315628/1000000</f>
        <v>834.31562799999995</v>
      </c>
      <c r="D51" s="67">
        <f>1979418008/1000000</f>
        <v>1979.4180080000001</v>
      </c>
      <c r="E51" s="67">
        <f>3180212859/1000000</f>
        <v>3180.2128590000002</v>
      </c>
      <c r="F51" s="67">
        <f>1706831283/1000000</f>
        <v>1706.831283</v>
      </c>
      <c r="G51" s="67">
        <f t="shared" si="0"/>
        <v>10037.970219999999</v>
      </c>
      <c r="H51" s="67">
        <f>2985067162/1000000</f>
        <v>2985.0671619999998</v>
      </c>
      <c r="I51" s="67">
        <f>6252026491/1000000</f>
        <v>6252.0264909999996</v>
      </c>
      <c r="J51" s="67">
        <f>800876567/1000000</f>
        <v>800.87656700000002</v>
      </c>
      <c r="K51" s="67">
        <f>+SUM(H51:J51)</f>
        <v>10037.970219999999</v>
      </c>
      <c r="L51" s="5"/>
    </row>
    <row r="52" spans="1:12" ht="11.65" customHeight="1" x14ac:dyDescent="0.2">
      <c r="A52" s="95" t="s">
        <v>89</v>
      </c>
      <c r="B52" s="84">
        <f>+B50+B51</f>
        <v>6357.7921749999996</v>
      </c>
      <c r="C52" s="84">
        <f t="shared" ref="C52:K52" si="3">+C50+C51</f>
        <v>7590.0654770000001</v>
      </c>
      <c r="D52" s="84">
        <f t="shared" si="3"/>
        <v>6090.5175609999988</v>
      </c>
      <c r="E52" s="84">
        <f t="shared" si="3"/>
        <v>10086.799214000002</v>
      </c>
      <c r="F52" s="84">
        <f t="shared" si="3"/>
        <v>5312.816796000001</v>
      </c>
      <c r="G52" s="84">
        <f t="shared" si="3"/>
        <v>35437.991222999997</v>
      </c>
      <c r="H52" s="84">
        <f t="shared" si="3"/>
        <v>9350.2365009999994</v>
      </c>
      <c r="I52" s="84">
        <f t="shared" si="3"/>
        <v>22801.366561999999</v>
      </c>
      <c r="J52" s="84">
        <f t="shared" si="3"/>
        <v>3286.3875429999998</v>
      </c>
      <c r="K52" s="84">
        <f t="shared" si="3"/>
        <v>35437.990605999992</v>
      </c>
      <c r="L52" s="5"/>
    </row>
  </sheetData>
  <mergeCells count="5">
    <mergeCell ref="J2:K2"/>
    <mergeCell ref="A3:A4"/>
    <mergeCell ref="B3:G3"/>
    <mergeCell ref="H3:K3"/>
    <mergeCell ref="A1:K1"/>
  </mergeCells>
  <pageMargins left="0.5" right="0.5" top="0.3" bottom="0.1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Con_BS</vt:lpstr>
      <vt:lpstr>Con_LR</vt:lpstr>
      <vt:lpstr>Con_FP</vt:lpstr>
      <vt:lpstr>year_book_2018_life_ non_life</vt:lpstr>
      <vt:lpstr>RA_Life</vt:lpstr>
      <vt:lpstr>Achiv_Life</vt:lpstr>
      <vt:lpstr>Growth_Life</vt:lpstr>
      <vt:lpstr>BS_Non_Life</vt:lpstr>
      <vt:lpstr>RA_Non_Life</vt:lpstr>
      <vt:lpstr>At_a_Glance</vt:lpstr>
      <vt:lpstr>Achiv_Non_Life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</dc:creator>
  <cp:lastModifiedBy>Zahid</cp:lastModifiedBy>
  <cp:lastPrinted>2020-02-03T09:39:38Z</cp:lastPrinted>
  <dcterms:created xsi:type="dcterms:W3CDTF">2020-01-27T04:19:35Z</dcterms:created>
  <dcterms:modified xsi:type="dcterms:W3CDTF">2020-11-08T04:19:06Z</dcterms:modified>
</cp:coreProperties>
</file>